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120" windowWidth="9720" windowHeight="7320" activeTab="0"/>
  </bookViews>
  <sheets>
    <sheet name="свод" sheetId="1" r:id="rId1"/>
    <sheet name="оплата труда" sheetId="2" r:id="rId2"/>
    <sheet name="Доп.зарпл" sheetId="3" r:id="rId3"/>
    <sheet name="амортизация" sheetId="4" r:id="rId4"/>
    <sheet name="материалы" sheetId="5" r:id="rId5"/>
    <sheet name="общеэксплуатационные" sheetId="6" r:id="rId6"/>
  </sheets>
  <definedNames/>
  <calcPr fullCalcOnLoad="1"/>
</workbook>
</file>

<file path=xl/sharedStrings.xml><?xml version="1.0" encoding="utf-8"?>
<sst xmlns="http://schemas.openxmlformats.org/spreadsheetml/2006/main" count="267" uniqueCount="231">
  <si>
    <t>1.</t>
  </si>
  <si>
    <t>2.</t>
  </si>
  <si>
    <t>3.</t>
  </si>
  <si>
    <t>Материалы</t>
  </si>
  <si>
    <t>4.</t>
  </si>
  <si>
    <t>Амортизация</t>
  </si>
  <si>
    <t>Всего расходов с рентабельностью</t>
  </si>
  <si>
    <t>5.</t>
  </si>
  <si>
    <t xml:space="preserve">Планируемая численность  по платной образовательной услуге </t>
  </si>
  <si>
    <t>Экономически-обоснованная стоимость образовательной услуги в месяц на 1 чел.</t>
  </si>
  <si>
    <t>руб.</t>
  </si>
  <si>
    <t>Услуги связи</t>
  </si>
  <si>
    <t>Приобретение проездных билетов</t>
  </si>
  <si>
    <t>Услуги по содержанию имущества:</t>
  </si>
  <si>
    <t>дератизация</t>
  </si>
  <si>
    <t>техническое обслуживание электрохозяйства</t>
  </si>
  <si>
    <t xml:space="preserve">техническое обслуживание автоматизированных тепловых пунктов </t>
  </si>
  <si>
    <t>аварийное обслуживание инженерных сетей</t>
  </si>
  <si>
    <t>вывоз ТБО</t>
  </si>
  <si>
    <t>техническое обслуживание системы вентиляции</t>
  </si>
  <si>
    <t>ст. 225</t>
  </si>
  <si>
    <t>ст. 226</t>
  </si>
  <si>
    <t>Прочие выплаты:</t>
  </si>
  <si>
    <t>техническое обслуживание систем пожарной сигнализации</t>
  </si>
  <si>
    <t>обслуживание тревожной сигнализации</t>
  </si>
  <si>
    <t>подписка</t>
  </si>
  <si>
    <t>техническое обслуживание системы наблюдения</t>
  </si>
  <si>
    <t xml:space="preserve">гигиеническое обучение </t>
  </si>
  <si>
    <t>обучение пожарной безопасности</t>
  </si>
  <si>
    <t>профосмотр</t>
  </si>
  <si>
    <t>ст.290</t>
  </si>
  <si>
    <t>Прочие услуги</t>
  </si>
  <si>
    <t>пени, госпошлины</t>
  </si>
  <si>
    <t>Итого ФОТ в месяц:</t>
  </si>
  <si>
    <t>Итого в год:</t>
  </si>
  <si>
    <t>ст. 223</t>
  </si>
  <si>
    <t>Коммунальные услуги</t>
  </si>
  <si>
    <t>Прибыль (Рентабельность  15%)</t>
  </si>
  <si>
    <t>Ед.изм.</t>
  </si>
  <si>
    <t>Затраты по статье</t>
  </si>
  <si>
    <t>чел</t>
  </si>
  <si>
    <t>Статьи затрат</t>
  </si>
  <si>
    <t>Итого затрат</t>
  </si>
  <si>
    <t>Кол-во часов в месяц по платной услуге, час</t>
  </si>
  <si>
    <t>Наименование должности,                        занятой на услуге</t>
  </si>
  <si>
    <t>Общеэксплуатационные расходы</t>
  </si>
  <si>
    <t>№  п/п</t>
  </si>
  <si>
    <t>ст. 340</t>
  </si>
  <si>
    <t>Увеличение стоимости материальных запасов</t>
  </si>
  <si>
    <t>ГСМ</t>
  </si>
  <si>
    <t>техническое обслуживание и ремонт торговотехнологического оборудования (столовая)</t>
  </si>
  <si>
    <t>курсы повышения квалификации</t>
  </si>
  <si>
    <t>ст. 221</t>
  </si>
  <si>
    <t>ст. 222</t>
  </si>
  <si>
    <t>ст. 213</t>
  </si>
  <si>
    <t>ст. 211</t>
  </si>
  <si>
    <t>Наименование</t>
  </si>
  <si>
    <t>Год ввода в эквплуатацию</t>
  </si>
  <si>
    <t>Первоначальная стоимость</t>
  </si>
  <si>
    <t>Сумма амортизации в год</t>
  </si>
  <si>
    <t>Наименование объекта</t>
  </si>
  <si>
    <t>ИТОГО</t>
  </si>
  <si>
    <t>Срок службы эксплуатации объекта, количество лет</t>
  </si>
  <si>
    <t>Сумма амортизации в месяц</t>
  </si>
  <si>
    <t>п/п</t>
  </si>
  <si>
    <t>Количество</t>
  </si>
  <si>
    <t>Стоимость материалов, руб.</t>
  </si>
  <si>
    <t>Сумма в год, руб.</t>
  </si>
  <si>
    <t>Сумма в месяц, руб</t>
  </si>
  <si>
    <t>Сумма стоимости материалов  в услуге</t>
  </si>
  <si>
    <t>дезинсекция</t>
  </si>
  <si>
    <t>техническое обслуживание автотранспорта</t>
  </si>
  <si>
    <t>техобслуживание и ремонт оргтехники</t>
  </si>
  <si>
    <t>электроэнергия</t>
  </si>
  <si>
    <t>отопление</t>
  </si>
  <si>
    <t>водоснабжение</t>
  </si>
  <si>
    <t>водоотведение</t>
  </si>
  <si>
    <t>страхование автотранспорта</t>
  </si>
  <si>
    <t>обслуживание программных обеспечений (Консультант+, Гарант,1С, антивирус)</t>
  </si>
  <si>
    <t>Медикаменты</t>
  </si>
  <si>
    <t>Коды</t>
  </si>
  <si>
    <t>% общеэксплуатационных расходов к заработной плате педагогического персонала</t>
  </si>
  <si>
    <t xml:space="preserve">Заработная плата педагогического персонала: </t>
  </si>
  <si>
    <t>Заработная плата педагогического персонала данной услуги</t>
  </si>
  <si>
    <r>
      <t xml:space="preserve">Амортизация </t>
    </r>
    <r>
      <rPr>
        <i/>
        <sz val="10"/>
        <rFont val="Arial"/>
        <family val="2"/>
      </rPr>
      <t>(здания и сооружений)</t>
    </r>
  </si>
  <si>
    <t>Затраты по статье за год, руб.</t>
  </si>
  <si>
    <t>Стимулирующие выплаты для лицеев и гимназий в размере 15%</t>
  </si>
  <si>
    <t>должностной оклад по высшей квалификационной категории, руб.</t>
  </si>
  <si>
    <t>Среднегодовое количество учащихся учебного заведения</t>
  </si>
  <si>
    <t xml:space="preserve"> основных средств (ст-ть свыше 20 тыс.) </t>
  </si>
  <si>
    <t>Заработная плата АУП и вспомогательного персонала</t>
  </si>
  <si>
    <t>Показатели</t>
  </si>
  <si>
    <t>№                  п.п</t>
  </si>
  <si>
    <t>Цифровое выражение показателя</t>
  </si>
  <si>
    <t>Численность работников</t>
  </si>
  <si>
    <t>Календарный фонд рабочего времени</t>
  </si>
  <si>
    <t>3а.</t>
  </si>
  <si>
    <t>3б.</t>
  </si>
  <si>
    <t>3в.</t>
  </si>
  <si>
    <t>3г.</t>
  </si>
  <si>
    <t>Количество нерабочих дней - всего (стр.3а + стр.3б) в том числе:</t>
  </si>
  <si>
    <t>празднечных дней ( по календарю)</t>
  </si>
  <si>
    <t xml:space="preserve"> количество вторых дней отдыха, учтенных в период очередного и дополнительного отпусков  - (стр.5а / 7 - при 6-ти дневной рабочей неделе)</t>
  </si>
  <si>
    <t>Количество календарных рабочих дней   (стр.2 - стр.3)</t>
  </si>
  <si>
    <r>
      <t xml:space="preserve">Неявки на работу - всего </t>
    </r>
    <r>
      <rPr>
        <sz val="12"/>
        <rFont val="Times New Roman"/>
        <family val="1"/>
      </rPr>
      <t>(стр.5а + 5б + 5в + 5г + 5д) в том числе:</t>
    </r>
  </si>
  <si>
    <t>5а.</t>
  </si>
  <si>
    <t xml:space="preserve">очередные и дополнительные </t>
  </si>
  <si>
    <t>5б.</t>
  </si>
  <si>
    <t>5в.</t>
  </si>
  <si>
    <t>5г.</t>
  </si>
  <si>
    <t>5д.</t>
  </si>
  <si>
    <t>отпуска по учебе</t>
  </si>
  <si>
    <t>болезни</t>
  </si>
  <si>
    <t>выполнение государственных и общественных  обязанносчтей</t>
  </si>
  <si>
    <t>неявки с разрешения администрации</t>
  </si>
  <si>
    <t>6.</t>
  </si>
  <si>
    <t>7.</t>
  </si>
  <si>
    <t>Число рабочих дней (стр.4-стр.5)</t>
  </si>
  <si>
    <t>Размер доп. з/платы, % (стр.5а-стр.3г)+(стр.5б+стр.5г)/стр.6*100</t>
  </si>
  <si>
    <t xml:space="preserve">Дополнительная заработная плата (размер по табл."Расчет дополнительной заработной платы" </t>
  </si>
  <si>
    <t>Месячный фонд оплаты труда по платной услуге, руб.                               (гр.4*гр.5*гр.6)</t>
  </si>
  <si>
    <t xml:space="preserve">Часовая тарифная ставка, руб.  </t>
  </si>
  <si>
    <t>Годовой            норматив рабочего времени при 20 часовой неделе</t>
  </si>
  <si>
    <t>дополнительные вторые дни в неделю (стр.3б - количество воскресений)</t>
  </si>
  <si>
    <t>выходных при 6-ти дневной рабочей неделе,                                                     (количество выходных дней - стр.3г) из них:</t>
  </si>
  <si>
    <t>Примечания:</t>
  </si>
  <si>
    <t>Справочник экономиста по труду (изд. Экономика, Москва 1982г. под ред. Гурьянова С.А.,Полякова И.А., Резимова К.С.)</t>
  </si>
  <si>
    <t>Примечание:</t>
  </si>
  <si>
    <t>3. По графе 4 часовая тарифная ставка получается делением гр.2 на гр.3</t>
  </si>
  <si>
    <t xml:space="preserve">4. По графе 5 устанавливается количество часов по платной услуги для каждого преподавателя </t>
  </si>
  <si>
    <t xml:space="preserve">5. По графе 6 величина стимулирующих выплат, документально подтвержденная для лицеев и гимназий в размере 15% </t>
  </si>
  <si>
    <t>6. По графе 7 осуществляется расчет месячного фонда оплаты труда по каждому преподавателю и в целом на платную услугу с учетом размера дополнительной заработной платы.</t>
  </si>
  <si>
    <t>1. По графе 2 принимается должностной оклад по высшей категории новой системы оплаты</t>
  </si>
  <si>
    <t>Количество учащихся по платной образовательной услуге</t>
  </si>
  <si>
    <t>Итого ФОТ с учетом доп.зарплаты</t>
  </si>
  <si>
    <t xml:space="preserve">1. Расчёт заработной платы преподавателей по платной образовательной деятельности </t>
  </si>
  <si>
    <t xml:space="preserve">2. Расчет амортизационных отчислений </t>
  </si>
  <si>
    <t>3. Расшифровка статьи " материалы"</t>
  </si>
  <si>
    <t>1.  В расчет затрат по материалам включить ст.340 по бюджету  (область + город)</t>
  </si>
  <si>
    <t xml:space="preserve">4. Общеэксплуатационные расходы </t>
  </si>
  <si>
    <t>Приложение:</t>
  </si>
  <si>
    <t>1. Планируемая численность учащихся по платной общеобразовательной услуге определяется средним количеством за последние три года.</t>
  </si>
  <si>
    <t>2. Величина (%) рентабельности должна быть обоснована фактическими показателями за отчетный период и расчетом на устанавливаемую стоимость услуги.</t>
  </si>
  <si>
    <t>Калькуляция стоимости платной общеобразовательной  услуги</t>
  </si>
  <si>
    <t>Расчет произведен согласно нормативному документу:</t>
  </si>
  <si>
    <t>Строительные материалы</t>
  </si>
  <si>
    <t>Хозтовары</t>
  </si>
  <si>
    <t>Канцтовары</t>
  </si>
  <si>
    <t>___________ Г. Н. Астахова</t>
  </si>
  <si>
    <t xml:space="preserve">                                   Утверждаю: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</si>
  <si>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ЖК- тевизор 26 "Samsung" (Гранд)</t>
  </si>
  <si>
    <t>24.11.2008</t>
  </si>
  <si>
    <t>Комплекс медицинский диагностический</t>
  </si>
  <si>
    <t>24.12.2009</t>
  </si>
  <si>
    <t>01.09.2002</t>
  </si>
  <si>
    <t>Проектор LG DX 125 DLP 2500A NSI Lm, XGA, 2000:1, DVI</t>
  </si>
  <si>
    <t>14.08.2007</t>
  </si>
  <si>
    <t>Системный блок(учитель)</t>
  </si>
  <si>
    <t>Стенд "Служу закону,служу народу"(акт.зал)</t>
  </si>
  <si>
    <t>26.02.2010</t>
  </si>
  <si>
    <t>Главный бухгалтер                                                        Дякина Е.В.</t>
  </si>
  <si>
    <t>2. По графе 3 принимается постоянная величина18 / 6 * 301 / 12 = 83,61</t>
  </si>
  <si>
    <t>факт 2011</t>
  </si>
  <si>
    <t>Прогноз 2012</t>
  </si>
  <si>
    <t>Директор МБОУ КШ №43                                              Астахова Г.Н.</t>
  </si>
  <si>
    <t>27.03.2012</t>
  </si>
  <si>
    <t xml:space="preserve">Интерактивная доска Smart Bord 660 </t>
  </si>
  <si>
    <t>Проектор Casio XJ-A130 (большой)</t>
  </si>
  <si>
    <t>09.08.2011</t>
  </si>
  <si>
    <t>Начисления на выплаты по оплате труда (30,2%)</t>
  </si>
  <si>
    <t>Интерактивный комплекс Smart Board 680iv-A с системой для проведения тестирований и опросов</t>
  </si>
  <si>
    <t>23.10.2012</t>
  </si>
  <si>
    <t>Интерактивный комплекс SMART Bord 660 июнь 2013 (Потапова)</t>
  </si>
  <si>
    <t>21.06.2013</t>
  </si>
  <si>
    <t>20.02.2013</t>
  </si>
  <si>
    <t>23.08.2012</t>
  </si>
  <si>
    <t>Интерактивная доска Smsrt Board 660 + мультимедийный проектор+ потолочное крепление для проектора (физика)</t>
  </si>
  <si>
    <t>25.10.2012</t>
  </si>
  <si>
    <t>30.11.2012</t>
  </si>
  <si>
    <t>Силовая 3-х позиционная станция с одиночной блочной рамкой (2012 модернизация)</t>
  </si>
  <si>
    <t>Цифровая лаборатория по химии 2013</t>
  </si>
  <si>
    <t>05.06.2013</t>
  </si>
  <si>
    <t>Директор МБОУ Кадетской школы № 43 им. майора милиции А. Коврижных г. Липецка</t>
  </si>
  <si>
    <t>ст.310</t>
  </si>
  <si>
    <t>увеличение стоимости основных средств</t>
  </si>
  <si>
    <t>учитель математики</t>
  </si>
  <si>
    <t>по математике на 01.09.2015г.</t>
  </si>
  <si>
    <t>Интерактивная доска Smart Bord 660 (диагональ 64/162.6 см) август 2012 география</t>
  </si>
  <si>
    <t>Интерактивная система Smart Board 680iv-A с системой для проведения тестирования (Горенко)</t>
  </si>
  <si>
    <t>26.11.2012</t>
  </si>
  <si>
    <t xml:space="preserve">Интерактивная система Smart SBM 680 i6 2015-7 </t>
  </si>
  <si>
    <t>26.06.2015</t>
  </si>
  <si>
    <t>Интерактивная система Smart SBM 680 i6 2015-7 Садовникова</t>
  </si>
  <si>
    <t>Интерактивный комплекс 2014 (июнь) Данилова</t>
  </si>
  <si>
    <t>02.06.2014</t>
  </si>
  <si>
    <t>Интерактивный комплекс 2014 (июнь) Мязина</t>
  </si>
  <si>
    <t>Интерактивный комплекс 2014 (июнь) Семынина</t>
  </si>
  <si>
    <t>Интерактивный комплекс 2014 (июнь) Солошенко</t>
  </si>
  <si>
    <t>Интерактивный комплекс 2014 (июнь) Шаповалова</t>
  </si>
  <si>
    <t>Интерактивный комплекс SMART Bord 660  (информатика)</t>
  </si>
  <si>
    <t>Интерактивный комплекс SMART Bord 660 декабрь 2013 (Меренкова)</t>
  </si>
  <si>
    <t>09.12.2013</t>
  </si>
  <si>
    <t>Комплект интерактивного компьютерного оборудования с ноутбуком (УНиО) Ильина</t>
  </si>
  <si>
    <t>24.04.2014</t>
  </si>
  <si>
    <t>Комплект интерактивного компьютерного оборудования с ноутбуком (УНиО) Кустова</t>
  </si>
  <si>
    <t>Компьютер в комплекте Регард сентябрь 2014</t>
  </si>
  <si>
    <t>09.10.2014</t>
  </si>
  <si>
    <t>Ноутбук HP Pavilion 15,6 '' 15-г25 1ur 2015</t>
  </si>
  <si>
    <t>28.07.2015</t>
  </si>
  <si>
    <t>Тележка для ноутбуков Schoolbox 2015</t>
  </si>
  <si>
    <t>Прилавок д/вторых блюдITERMA ЬЭ-2-1100/700-01</t>
  </si>
  <si>
    <t>02.09.2008</t>
  </si>
  <si>
    <t>Прилавок д/холодных блюд ITERMA ИХИ-Р-1100/700-Н-</t>
  </si>
  <si>
    <t>Стол с ванной моечной ITERMA 430 СБ-251/1276МП СОМ</t>
  </si>
  <si>
    <t>Аудиоаппаратура - внутришкольная телефонная связь</t>
  </si>
  <si>
    <t>31.12.2011</t>
  </si>
  <si>
    <t>Теплообменник м3</t>
  </si>
  <si>
    <t>Интерактивный аппаратно-програмный комплекс</t>
  </si>
  <si>
    <t>17.10.2008</t>
  </si>
  <si>
    <t>Котел 900СЕР КПЭМ-100</t>
  </si>
  <si>
    <t xml:space="preserve">Мармит </t>
  </si>
  <si>
    <t>18.10.2013</t>
  </si>
  <si>
    <t>Пароконвектомат RATIONAL COMBIMASTER 61</t>
  </si>
  <si>
    <t>Плита 2 конф. 900сер ITERMA ПКЭ-2КВ-550/850/860-П</t>
  </si>
  <si>
    <t>Шкаф холодильный с глух. дверью POLAIR ШХ-0,7</t>
  </si>
  <si>
    <t>Кондиционер Timberk 07H S10</t>
  </si>
  <si>
    <t>04.02.2015</t>
  </si>
  <si>
    <t>Кондиционер Timberk 09H S10</t>
  </si>
  <si>
    <t>Мультимедийный проектор</t>
  </si>
  <si>
    <t>Расчет дополнительной заработной платы (%) на 2015 год</t>
  </si>
  <si>
    <t>по состоянию на 1 января 2015 г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</si>
</sst>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#,##0.00;[Red]\-#,##0.00"/>
    <numFmt numFmtId="183" formatCode="0&quot; лет&quot;"/>
    <numFmt numFmtId="184" formatCode="0&quot; года&quot;"/>
    <numFmt numFmtId="185" formatCode="0.00;[Red]\-0.00"/>
  </numFmts>
  <fonts count="4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  <font>
      <sz val="12"/>
      <name val="Times New Roman CYR"/>
      <family val="1"/>
    </font>
    <font>
      <b/>
      <i/>
      <sz val="12"/>
      <name val="Times New Roman"/>
      <family val="1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wrapText="1"/>
    </xf>
    <xf numFmtId="2" fontId="5" fillId="0" borderId="0" xfId="0" applyNumberFormat="1" applyFont="1" applyAlignment="1">
      <alignment vertical="center" wrapText="1"/>
    </xf>
    <xf numFmtId="2" fontId="5" fillId="0" borderId="0" xfId="0" applyNumberFormat="1" applyFont="1" applyBorder="1" applyAlignment="1">
      <alignment vertical="center" wrapText="1"/>
    </xf>
    <xf numFmtId="2" fontId="6" fillId="0" borderId="0" xfId="0" applyNumberFormat="1" applyFont="1" applyAlignment="1">
      <alignment vertical="center" wrapText="1"/>
    </xf>
    <xf numFmtId="2" fontId="5" fillId="0" borderId="10" xfId="0" applyNumberFormat="1" applyFont="1" applyBorder="1" applyAlignment="1">
      <alignment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79" fontId="1" fillId="0" borderId="10" xfId="58" applyFont="1" applyBorder="1" applyAlignment="1">
      <alignment horizontal="center"/>
    </xf>
    <xf numFmtId="179" fontId="3" fillId="0" borderId="10" xfId="58" applyFont="1" applyBorder="1" applyAlignment="1">
      <alignment horizontal="center"/>
    </xf>
    <xf numFmtId="179" fontId="0" fillId="0" borderId="10" xfId="58" applyBorder="1" applyAlignment="1">
      <alignment horizontal="center"/>
    </xf>
    <xf numFmtId="0" fontId="4" fillId="0" borderId="11" xfId="0" applyFont="1" applyFill="1" applyBorder="1" applyAlignment="1">
      <alignment/>
    </xf>
    <xf numFmtId="0" fontId="0" fillId="0" borderId="10" xfId="0" applyBorder="1" applyAlignment="1">
      <alignment wrapText="1"/>
    </xf>
    <xf numFmtId="2" fontId="0" fillId="33" borderId="10" xfId="0" applyNumberFormat="1" applyFill="1" applyBorder="1" applyAlignment="1">
      <alignment wrapText="1"/>
    </xf>
    <xf numFmtId="0" fontId="0" fillId="34" borderId="10" xfId="0" applyFill="1" applyBorder="1" applyAlignment="1">
      <alignment/>
    </xf>
    <xf numFmtId="2" fontId="6" fillId="34" borderId="10" xfId="0" applyNumberFormat="1" applyFont="1" applyFill="1" applyBorder="1" applyAlignment="1">
      <alignment vertical="center" wrapText="1"/>
    </xf>
    <xf numFmtId="2" fontId="5" fillId="34" borderId="10" xfId="0" applyNumberFormat="1" applyFont="1" applyFill="1" applyBorder="1" applyAlignment="1">
      <alignment vertical="center" wrapText="1"/>
    </xf>
    <xf numFmtId="2" fontId="6" fillId="34" borderId="10" xfId="0" applyNumberFormat="1" applyFont="1" applyFill="1" applyBorder="1" applyAlignment="1">
      <alignment horizontal="center" vertical="center" wrapText="1"/>
    </xf>
    <xf numFmtId="1" fontId="5" fillId="35" borderId="10" xfId="0" applyNumberFormat="1" applyFont="1" applyFill="1" applyBorder="1" applyAlignment="1">
      <alignment horizontal="center" vertical="center" wrapText="1"/>
    </xf>
    <xf numFmtId="2" fontId="0" fillId="36" borderId="10" xfId="0" applyNumberFormat="1" applyFill="1" applyBorder="1" applyAlignment="1">
      <alignment/>
    </xf>
    <xf numFmtId="179" fontId="4" fillId="0" borderId="10" xfId="58" applyFont="1" applyFill="1" applyBorder="1" applyAlignment="1">
      <alignment horizontal="center"/>
    </xf>
    <xf numFmtId="179" fontId="0" fillId="0" borderId="10" xfId="58" applyFill="1" applyBorder="1" applyAlignment="1">
      <alignment horizontal="center"/>
    </xf>
    <xf numFmtId="0" fontId="4" fillId="0" borderId="11" xfId="0" applyFont="1" applyFill="1" applyBorder="1" applyAlignment="1">
      <alignment wrapText="1"/>
    </xf>
    <xf numFmtId="179" fontId="1" fillId="33" borderId="10" xfId="58" applyFont="1" applyFill="1" applyBorder="1" applyAlignment="1">
      <alignment horizontal="center"/>
    </xf>
    <xf numFmtId="179" fontId="4" fillId="33" borderId="10" xfId="58" applyFont="1" applyFill="1" applyBorder="1" applyAlignment="1">
      <alignment horizontal="center"/>
    </xf>
    <xf numFmtId="179" fontId="3" fillId="34" borderId="10" xfId="58" applyFont="1" applyFill="1" applyBorder="1" applyAlignment="1">
      <alignment horizontal="center"/>
    </xf>
    <xf numFmtId="0" fontId="3" fillId="34" borderId="11" xfId="0" applyFont="1" applyFill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8" fillId="0" borderId="11" xfId="0" applyFont="1" applyBorder="1" applyAlignment="1">
      <alignment wrapText="1"/>
    </xf>
    <xf numFmtId="0" fontId="1" fillId="0" borderId="1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2" fontId="7" fillId="36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/>
    </xf>
    <xf numFmtId="2" fontId="5" fillId="0" borderId="10" xfId="0" applyNumberFormat="1" applyFont="1" applyBorder="1" applyAlignment="1">
      <alignment wrapText="1"/>
    </xf>
    <xf numFmtId="2" fontId="5" fillId="0" borderId="10" xfId="0" applyNumberFormat="1" applyFont="1" applyBorder="1" applyAlignment="1">
      <alignment/>
    </xf>
    <xf numFmtId="2" fontId="5" fillId="33" borderId="10" xfId="0" applyNumberFormat="1" applyFont="1" applyFill="1" applyBorder="1" applyAlignment="1">
      <alignment/>
    </xf>
    <xf numFmtId="2" fontId="5" fillId="36" borderId="10" xfId="0" applyNumberFormat="1" applyFont="1" applyFill="1" applyBorder="1" applyAlignment="1">
      <alignment/>
    </xf>
    <xf numFmtId="1" fontId="6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/>
    </xf>
    <xf numFmtId="0" fontId="5" fillId="37" borderId="10" xfId="0" applyFont="1" applyFill="1" applyBorder="1" applyAlignment="1">
      <alignment/>
    </xf>
    <xf numFmtId="2" fontId="5" fillId="37" borderId="10" xfId="0" applyNumberFormat="1" applyFont="1" applyFill="1" applyBorder="1" applyAlignment="1">
      <alignment/>
    </xf>
    <xf numFmtId="0" fontId="5" fillId="36" borderId="10" xfId="0" applyFont="1" applyFill="1" applyBorder="1" applyAlignment="1">
      <alignment/>
    </xf>
    <xf numFmtId="1" fontId="5" fillId="35" borderId="10" xfId="0" applyNumberFormat="1" applyFont="1" applyFill="1" applyBorder="1" applyAlignment="1">
      <alignment/>
    </xf>
    <xf numFmtId="0" fontId="0" fillId="0" borderId="0" xfId="0" applyAlignment="1">
      <alignment vertical="center"/>
    </xf>
    <xf numFmtId="2" fontId="5" fillId="34" borderId="10" xfId="0" applyNumberFormat="1" applyFont="1" applyFill="1" applyBorder="1" applyAlignment="1">
      <alignment/>
    </xf>
    <xf numFmtId="2" fontId="5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/>
    </xf>
    <xf numFmtId="2" fontId="7" fillId="0" borderId="11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left" vertical="top" wrapText="1"/>
    </xf>
    <xf numFmtId="179" fontId="4" fillId="16" borderId="10" xfId="58" applyFont="1" applyFill="1" applyBorder="1" applyAlignment="1">
      <alignment horizontal="center"/>
    </xf>
    <xf numFmtId="2" fontId="5" fillId="0" borderId="0" xfId="0" applyNumberFormat="1" applyFont="1" applyAlignment="1">
      <alignment horizontal="left" vertical="center" wrapText="1"/>
    </xf>
    <xf numFmtId="2" fontId="5" fillId="0" borderId="0" xfId="0" applyNumberFormat="1" applyFont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 wrapText="1"/>
    </xf>
    <xf numFmtId="2" fontId="5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2" fontId="5" fillId="38" borderId="0" xfId="0" applyNumberFormat="1" applyFont="1" applyFill="1" applyAlignment="1">
      <alignment horizontal="left" vertical="center" wrapText="1"/>
    </xf>
    <xf numFmtId="2" fontId="6" fillId="0" borderId="0" xfId="0" applyNumberFormat="1" applyFont="1" applyBorder="1" applyAlignment="1">
      <alignment horizontal="center" vertical="center" wrapText="1"/>
    </xf>
    <xf numFmtId="2" fontId="5" fillId="0" borderId="14" xfId="0" applyNumberFormat="1" applyFont="1" applyBorder="1" applyAlignment="1">
      <alignment horizontal="center" vertical="center" wrapText="1"/>
    </xf>
    <xf numFmtId="2" fontId="5" fillId="0" borderId="15" xfId="0" applyNumberFormat="1" applyFont="1" applyBorder="1" applyAlignment="1">
      <alignment horizontal="center" vertical="center" wrapText="1"/>
    </xf>
    <xf numFmtId="2" fontId="5" fillId="0" borderId="16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10" xfId="0" applyFont="1" applyFill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13" xfId="0" applyNumberFormat="1" applyFont="1" applyBorder="1" applyAlignment="1">
      <alignment horizontal="center" vertical="top" wrapText="1"/>
    </xf>
    <xf numFmtId="182" fontId="0" fillId="0" borderId="13" xfId="0" applyNumberFormat="1" applyFont="1" applyBorder="1" applyAlignment="1">
      <alignment horizontal="right" vertical="top"/>
    </xf>
    <xf numFmtId="1" fontId="0" fillId="0" borderId="13" xfId="0" applyNumberFormat="1" applyFont="1" applyBorder="1" applyAlignment="1">
      <alignment horizontal="right" vertical="top" wrapText="1"/>
    </xf>
    <xf numFmtId="185" fontId="0" fillId="0" borderId="13" xfId="0" applyNumberFormat="1" applyFont="1" applyBorder="1" applyAlignment="1">
      <alignment horizontal="right" vertical="top"/>
    </xf>
    <xf numFmtId="0" fontId="1" fillId="0" borderId="13" xfId="0" applyFont="1" applyBorder="1" applyAlignment="1">
      <alignment/>
    </xf>
    <xf numFmtId="182" fontId="1" fillId="0" borderId="13" xfId="0" applyNumberFormat="1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8"/>
  <sheetViews>
    <sheetView tabSelected="1" zoomScalePageLayoutView="0" workbookViewId="0" topLeftCell="A1">
      <selection activeCell="J18" sqref="J18"/>
    </sheetView>
  </sheetViews>
  <sheetFormatPr defaultColWidth="8.8515625" defaultRowHeight="12.75"/>
  <cols>
    <col min="1" max="1" width="7.140625" style="7" customWidth="1"/>
    <col min="2" max="2" width="40.7109375" style="7" customWidth="1"/>
    <col min="3" max="3" width="7.8515625" style="7" customWidth="1"/>
    <col min="4" max="4" width="26.140625" style="7" customWidth="1"/>
    <col min="5" max="16384" width="8.8515625" style="7" customWidth="1"/>
  </cols>
  <sheetData>
    <row r="2" spans="2:4" ht="17.25" customHeight="1">
      <c r="B2" s="77" t="s">
        <v>149</v>
      </c>
      <c r="C2" s="77"/>
      <c r="D2" s="77"/>
    </row>
    <row r="3" spans="2:4" ht="50.25" customHeight="1">
      <c r="B3" s="71"/>
      <c r="C3" s="77" t="s">
        <v>182</v>
      </c>
      <c r="D3" s="80"/>
    </row>
    <row r="4" spans="2:4" ht="17.25" customHeight="1">
      <c r="B4" s="71"/>
      <c r="C4" s="77" t="s">
        <v>148</v>
      </c>
      <c r="D4" s="81"/>
    </row>
    <row r="5" spans="1:7" ht="15.75">
      <c r="A5" s="78" t="s">
        <v>143</v>
      </c>
      <c r="B5" s="78"/>
      <c r="C5" s="78"/>
      <c r="D5" s="78"/>
      <c r="E5" s="9"/>
      <c r="F5" s="9"/>
      <c r="G5" s="9"/>
    </row>
    <row r="6" spans="1:7" ht="15.75">
      <c r="A6" s="78" t="s">
        <v>186</v>
      </c>
      <c r="B6" s="78"/>
      <c r="C6" s="78"/>
      <c r="D6" s="78"/>
      <c r="E6" s="9"/>
      <c r="F6" s="9"/>
      <c r="G6" s="9"/>
    </row>
    <row r="8" spans="1:4" ht="33.75" customHeight="1">
      <c r="A8" s="10" t="s">
        <v>46</v>
      </c>
      <c r="B8" s="11" t="s">
        <v>41</v>
      </c>
      <c r="C8" s="11" t="s">
        <v>38</v>
      </c>
      <c r="D8" s="11" t="s">
        <v>39</v>
      </c>
    </row>
    <row r="9" spans="1:4" ht="15.75" customHeight="1">
      <c r="A9" s="10"/>
      <c r="B9" s="11"/>
      <c r="C9" s="11"/>
      <c r="D9" s="11"/>
    </row>
    <row r="10" spans="1:4" ht="36.75" customHeight="1">
      <c r="A10" s="10"/>
      <c r="B10" s="10" t="s">
        <v>8</v>
      </c>
      <c r="C10" s="11" t="s">
        <v>40</v>
      </c>
      <c r="D10" s="27">
        <v>40</v>
      </c>
    </row>
    <row r="11" spans="1:4" ht="33" customHeight="1">
      <c r="A11" s="10" t="s">
        <v>0</v>
      </c>
      <c r="B11" s="10" t="s">
        <v>83</v>
      </c>
      <c r="C11" s="11" t="s">
        <v>10</v>
      </c>
      <c r="D11" s="11">
        <f>'оплата труда'!G18</f>
        <v>1212.890625</v>
      </c>
    </row>
    <row r="12" spans="1:4" ht="31.5">
      <c r="A12" s="10" t="s">
        <v>1</v>
      </c>
      <c r="B12" s="40" t="s">
        <v>169</v>
      </c>
      <c r="C12" s="11" t="s">
        <v>10</v>
      </c>
      <c r="D12" s="11">
        <f>D11*30.2%</f>
        <v>366.29296875</v>
      </c>
    </row>
    <row r="13" spans="1:4" ht="15.75">
      <c r="A13" s="10" t="s">
        <v>2</v>
      </c>
      <c r="B13" s="10" t="s">
        <v>3</v>
      </c>
      <c r="C13" s="11" t="s">
        <v>10</v>
      </c>
      <c r="D13" s="11">
        <f>SUM(материалы!H29)</f>
        <v>1132.3155216284986</v>
      </c>
    </row>
    <row r="14" spans="1:4" ht="15.75">
      <c r="A14" s="10" t="s">
        <v>4</v>
      </c>
      <c r="B14" s="10" t="s">
        <v>5</v>
      </c>
      <c r="C14" s="11" t="s">
        <v>10</v>
      </c>
      <c r="D14" s="11">
        <f>амортизация!F55</f>
        <v>98455.31166666666</v>
      </c>
    </row>
    <row r="15" spans="1:4" ht="18" customHeight="1">
      <c r="A15" s="10" t="s">
        <v>7</v>
      </c>
      <c r="B15" s="10" t="s">
        <v>45</v>
      </c>
      <c r="C15" s="11" t="s">
        <v>10</v>
      </c>
      <c r="D15" s="11">
        <f>D11*общеэксплуатационные!C55</f>
        <v>262724.5388777602</v>
      </c>
    </row>
    <row r="16" spans="1:4" ht="15" customHeight="1">
      <c r="A16" s="10"/>
      <c r="B16" s="12"/>
      <c r="C16" s="11"/>
      <c r="D16" s="13"/>
    </row>
    <row r="17" spans="1:4" ht="15.75">
      <c r="A17" s="10"/>
      <c r="B17" s="12" t="s">
        <v>42</v>
      </c>
      <c r="C17" s="11" t="s">
        <v>10</v>
      </c>
      <c r="D17" s="13">
        <f>SUM(D11:D16)</f>
        <v>363891.3496598053</v>
      </c>
    </row>
    <row r="18" spans="1:4" ht="15.75">
      <c r="A18" s="10"/>
      <c r="B18" s="12"/>
      <c r="C18" s="11"/>
      <c r="D18" s="13"/>
    </row>
    <row r="19" spans="1:4" ht="15.75">
      <c r="A19" s="10"/>
      <c r="B19" s="10" t="s">
        <v>37</v>
      </c>
      <c r="C19" s="11" t="s">
        <v>10</v>
      </c>
      <c r="D19" s="11">
        <f>D17*14.8%</f>
        <v>53855.91974965119</v>
      </c>
    </row>
    <row r="20" spans="1:4" ht="15.75">
      <c r="A20" s="10"/>
      <c r="B20" s="10"/>
      <c r="C20" s="11"/>
      <c r="D20" s="11"/>
    </row>
    <row r="21" spans="1:4" ht="15.75">
      <c r="A21" s="10"/>
      <c r="B21" s="12" t="s">
        <v>6</v>
      </c>
      <c r="C21" s="11" t="s">
        <v>10</v>
      </c>
      <c r="D21" s="13">
        <f>D17+D19</f>
        <v>417747.2694094565</v>
      </c>
    </row>
    <row r="22" spans="1:4" ht="15.75">
      <c r="A22" s="10"/>
      <c r="B22" s="10"/>
      <c r="C22" s="11"/>
      <c r="D22" s="11"/>
    </row>
    <row r="23" spans="1:4" ht="45" customHeight="1">
      <c r="A23" s="10"/>
      <c r="B23" s="10" t="s">
        <v>9</v>
      </c>
      <c r="C23" s="11" t="s">
        <v>10</v>
      </c>
      <c r="D23" s="14">
        <v>1600</v>
      </c>
    </row>
    <row r="24" spans="1:4" ht="15.75">
      <c r="A24" s="8"/>
      <c r="B24" s="8"/>
      <c r="C24" s="8"/>
      <c r="D24" s="8"/>
    </row>
    <row r="25" spans="1:4" ht="15.75">
      <c r="A25" s="79" t="s">
        <v>140</v>
      </c>
      <c r="B25" s="79"/>
      <c r="C25" s="79"/>
      <c r="D25" s="79"/>
    </row>
    <row r="26" spans="1:4" ht="37.5" customHeight="1">
      <c r="A26" s="76" t="s">
        <v>141</v>
      </c>
      <c r="B26" s="76"/>
      <c r="C26" s="76"/>
      <c r="D26" s="76"/>
    </row>
    <row r="27" spans="1:4" ht="32.25" customHeight="1">
      <c r="A27" s="76" t="s">
        <v>142</v>
      </c>
      <c r="B27" s="76"/>
      <c r="C27" s="76"/>
      <c r="D27" s="76"/>
    </row>
    <row r="28" spans="1:4" ht="15.75">
      <c r="A28" s="76"/>
      <c r="B28" s="76"/>
      <c r="C28" s="76"/>
      <c r="D28" s="76"/>
    </row>
  </sheetData>
  <sheetProtection/>
  <mergeCells count="9">
    <mergeCell ref="A26:D26"/>
    <mergeCell ref="A27:D27"/>
    <mergeCell ref="A28:D28"/>
    <mergeCell ref="B2:D2"/>
    <mergeCell ref="A5:D5"/>
    <mergeCell ref="A6:D6"/>
    <mergeCell ref="A25:D25"/>
    <mergeCell ref="C3:D3"/>
    <mergeCell ref="C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7"/>
  <sheetViews>
    <sheetView zoomScale="75" zoomScaleNormal="75" zoomScalePageLayoutView="0" workbookViewId="0" topLeftCell="A1">
      <selection activeCell="M12" sqref="M12"/>
    </sheetView>
  </sheetViews>
  <sheetFormatPr defaultColWidth="8.8515625" defaultRowHeight="12.75"/>
  <cols>
    <col min="1" max="1" width="26.00390625" style="7" customWidth="1"/>
    <col min="2" max="2" width="17.7109375" style="7" customWidth="1"/>
    <col min="3" max="3" width="12.28125" style="7" customWidth="1"/>
    <col min="4" max="4" width="12.421875" style="7" customWidth="1"/>
    <col min="5" max="6" width="17.28125" style="7" customWidth="1"/>
    <col min="7" max="7" width="18.28125" style="7" customWidth="1"/>
    <col min="8" max="16384" width="8.8515625" style="7" customWidth="1"/>
  </cols>
  <sheetData>
    <row r="2" spans="1:7" ht="15.75">
      <c r="A2" s="83" t="s">
        <v>135</v>
      </c>
      <c r="B2" s="83"/>
      <c r="C2" s="83"/>
      <c r="D2" s="83"/>
      <c r="E2" s="83"/>
      <c r="F2" s="83"/>
      <c r="G2" s="83"/>
    </row>
    <row r="3" spans="1:7" ht="15.75">
      <c r="A3" s="15"/>
      <c r="B3" s="15"/>
      <c r="C3" s="15"/>
      <c r="D3" s="15"/>
      <c r="E3" s="15"/>
      <c r="F3" s="15"/>
      <c r="G3" s="15"/>
    </row>
    <row r="4" spans="1:7" ht="115.5" customHeight="1">
      <c r="A4" s="11" t="s">
        <v>44</v>
      </c>
      <c r="B4" s="11" t="s">
        <v>87</v>
      </c>
      <c r="C4" s="11" t="s">
        <v>122</v>
      </c>
      <c r="D4" s="11" t="s">
        <v>121</v>
      </c>
      <c r="E4" s="11" t="s">
        <v>43</v>
      </c>
      <c r="F4" s="11" t="s">
        <v>86</v>
      </c>
      <c r="G4" s="11" t="s">
        <v>120</v>
      </c>
    </row>
    <row r="5" spans="1:7" ht="22.5" customHeight="1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</row>
    <row r="6" spans="1:7" ht="34.5" customHeight="1">
      <c r="A6" s="10"/>
      <c r="B6" s="11"/>
      <c r="C6" s="84">
        <v>76.8</v>
      </c>
      <c r="D6" s="11">
        <f>B6/C6</f>
        <v>0</v>
      </c>
      <c r="E6" s="11"/>
      <c r="F6" s="11">
        <f aca="true" t="shared" si="0" ref="F6:F12">D6*E6*0.15</f>
        <v>0</v>
      </c>
      <c r="G6" s="50">
        <f aca="true" t="shared" si="1" ref="G6:G12">D6*E6+F6</f>
        <v>0</v>
      </c>
    </row>
    <row r="7" spans="1:7" ht="36" customHeight="1">
      <c r="A7" s="10"/>
      <c r="B7" s="11"/>
      <c r="C7" s="85"/>
      <c r="D7" s="11">
        <f>B7/C6</f>
        <v>0</v>
      </c>
      <c r="E7" s="11"/>
      <c r="F7" s="11">
        <f t="shared" si="0"/>
        <v>0</v>
      </c>
      <c r="G7" s="50">
        <f t="shared" si="1"/>
        <v>0</v>
      </c>
    </row>
    <row r="8" spans="1:7" ht="36" customHeight="1">
      <c r="A8" s="10"/>
      <c r="B8" s="11"/>
      <c r="C8" s="85"/>
      <c r="D8" s="11"/>
      <c r="E8" s="11"/>
      <c r="F8" s="11">
        <f t="shared" si="0"/>
        <v>0</v>
      </c>
      <c r="G8" s="50">
        <f t="shared" si="1"/>
        <v>0</v>
      </c>
    </row>
    <row r="9" spans="1:7" ht="33.75" customHeight="1">
      <c r="A9" s="10"/>
      <c r="B9" s="11"/>
      <c r="C9" s="85"/>
      <c r="D9" s="11">
        <f>B9/C6</f>
        <v>0</v>
      </c>
      <c r="E9" s="11"/>
      <c r="F9" s="11">
        <f t="shared" si="0"/>
        <v>0</v>
      </c>
      <c r="G9" s="50">
        <f t="shared" si="1"/>
        <v>0</v>
      </c>
    </row>
    <row r="10" spans="1:7" ht="23.25" customHeight="1">
      <c r="A10" s="10" t="s">
        <v>185</v>
      </c>
      <c r="B10" s="11">
        <v>10125</v>
      </c>
      <c r="C10" s="85"/>
      <c r="D10" s="11">
        <f>B10/C6</f>
        <v>131.8359375</v>
      </c>
      <c r="E10" s="11">
        <v>8</v>
      </c>
      <c r="F10" s="11">
        <f t="shared" si="0"/>
        <v>158.203125</v>
      </c>
      <c r="G10" s="50">
        <f t="shared" si="1"/>
        <v>1212.890625</v>
      </c>
    </row>
    <row r="11" spans="1:7" ht="30.75" customHeight="1">
      <c r="A11" s="10"/>
      <c r="B11" s="11"/>
      <c r="C11" s="85"/>
      <c r="D11" s="11">
        <f>B11/C6</f>
        <v>0</v>
      </c>
      <c r="E11" s="11"/>
      <c r="F11" s="11">
        <f>D11*E11*0.15</f>
        <v>0</v>
      </c>
      <c r="G11" s="50">
        <f t="shared" si="1"/>
        <v>0</v>
      </c>
    </row>
    <row r="12" spans="1:7" ht="21.75" customHeight="1">
      <c r="A12" s="10"/>
      <c r="B12" s="11"/>
      <c r="C12" s="85"/>
      <c r="D12" s="11">
        <f>B12/C6</f>
        <v>0</v>
      </c>
      <c r="E12" s="11"/>
      <c r="F12" s="11">
        <f t="shared" si="0"/>
        <v>0</v>
      </c>
      <c r="G12" s="50">
        <f t="shared" si="1"/>
        <v>0</v>
      </c>
    </row>
    <row r="13" spans="1:7" ht="24.75" customHeight="1">
      <c r="A13" s="10"/>
      <c r="B13" s="11"/>
      <c r="C13" s="85"/>
      <c r="D13" s="11">
        <f>B13/C6</f>
        <v>0</v>
      </c>
      <c r="E13" s="11"/>
      <c r="F13" s="11">
        <f>D13*E13*0.15</f>
        <v>0</v>
      </c>
      <c r="G13" s="50">
        <f>D13*E13*F13</f>
        <v>0</v>
      </c>
    </row>
    <row r="14" spans="1:7" ht="39" customHeight="1">
      <c r="A14" s="10"/>
      <c r="B14" s="11"/>
      <c r="C14" s="86"/>
      <c r="D14" s="11">
        <f>B14/C6</f>
        <v>0</v>
      </c>
      <c r="E14" s="11"/>
      <c r="F14" s="11">
        <f>D14*E14*0.15</f>
        <v>0</v>
      </c>
      <c r="G14" s="50">
        <f>D14*E14*F14</f>
        <v>0</v>
      </c>
    </row>
    <row r="15" spans="1:7" ht="23.25" customHeight="1">
      <c r="A15" s="10"/>
      <c r="B15" s="10"/>
      <c r="C15" s="10"/>
      <c r="D15" s="10"/>
      <c r="E15" s="10"/>
      <c r="F15" s="10"/>
      <c r="G15" s="51"/>
    </row>
    <row r="16" spans="1:7" ht="27.75" customHeight="1">
      <c r="A16" s="24" t="s">
        <v>33</v>
      </c>
      <c r="B16" s="25"/>
      <c r="C16" s="25"/>
      <c r="D16" s="25"/>
      <c r="E16" s="25"/>
      <c r="F16" s="25"/>
      <c r="G16" s="26">
        <f>SUM(G6:G15)</f>
        <v>1212.890625</v>
      </c>
    </row>
    <row r="17" spans="1:7" s="8" customFormat="1" ht="85.5" customHeight="1">
      <c r="A17" s="10" t="s">
        <v>119</v>
      </c>
      <c r="B17" s="10"/>
      <c r="C17" s="10"/>
      <c r="D17" s="10"/>
      <c r="E17" s="10"/>
      <c r="F17" s="10"/>
      <c r="G17" s="50"/>
    </row>
    <row r="18" spans="1:7" s="8" customFormat="1" ht="39.75" customHeight="1">
      <c r="A18" s="12" t="s">
        <v>134</v>
      </c>
      <c r="B18" s="10"/>
      <c r="C18" s="10"/>
      <c r="D18" s="10"/>
      <c r="E18" s="10"/>
      <c r="F18" s="10"/>
      <c r="G18" s="26">
        <f>G17+G16</f>
        <v>1212.890625</v>
      </c>
    </row>
    <row r="19" spans="1:7" ht="15.75">
      <c r="A19" s="8"/>
      <c r="B19" s="8"/>
      <c r="C19" s="8"/>
      <c r="D19" s="8"/>
      <c r="E19" s="8"/>
      <c r="F19" s="8"/>
      <c r="G19" s="8"/>
    </row>
    <row r="20" spans="1:7" ht="15.75">
      <c r="A20" s="8" t="s">
        <v>127</v>
      </c>
      <c r="B20" s="8"/>
      <c r="C20" s="8"/>
      <c r="D20" s="8"/>
      <c r="E20" s="8"/>
      <c r="F20" s="8"/>
      <c r="G20" s="8"/>
    </row>
    <row r="21" spans="1:7" ht="15.75">
      <c r="A21" s="79" t="s">
        <v>132</v>
      </c>
      <c r="B21" s="79"/>
      <c r="C21" s="79"/>
      <c r="D21" s="79"/>
      <c r="E21" s="79"/>
      <c r="F21" s="79"/>
      <c r="G21" s="79"/>
    </row>
    <row r="22" spans="1:7" ht="15.75">
      <c r="A22" s="76" t="s">
        <v>161</v>
      </c>
      <c r="B22" s="76"/>
      <c r="C22" s="76"/>
      <c r="D22" s="76"/>
      <c r="E22" s="76"/>
      <c r="F22" s="76"/>
      <c r="G22" s="76"/>
    </row>
    <row r="23" spans="1:7" ht="15.75">
      <c r="A23" s="76" t="s">
        <v>128</v>
      </c>
      <c r="B23" s="76"/>
      <c r="C23" s="76"/>
      <c r="D23" s="76"/>
      <c r="E23" s="76"/>
      <c r="F23" s="76"/>
      <c r="G23" s="76"/>
    </row>
    <row r="24" spans="1:7" ht="15.75">
      <c r="A24" s="76" t="s">
        <v>129</v>
      </c>
      <c r="B24" s="76"/>
      <c r="C24" s="76"/>
      <c r="D24" s="76"/>
      <c r="E24" s="76"/>
      <c r="F24" s="76"/>
      <c r="G24" s="76"/>
    </row>
    <row r="25" spans="1:7" ht="15.75">
      <c r="A25" s="82" t="s">
        <v>130</v>
      </c>
      <c r="B25" s="82"/>
      <c r="C25" s="82"/>
      <c r="D25" s="82"/>
      <c r="E25" s="82"/>
      <c r="F25" s="82"/>
      <c r="G25" s="82"/>
    </row>
    <row r="26" spans="1:7" ht="33" customHeight="1">
      <c r="A26" s="76" t="s">
        <v>131</v>
      </c>
      <c r="B26" s="76"/>
      <c r="C26" s="76"/>
      <c r="D26" s="76"/>
      <c r="E26" s="76"/>
      <c r="F26" s="76"/>
      <c r="G26" s="76"/>
    </row>
    <row r="27" spans="1:7" ht="15.75">
      <c r="A27" s="76"/>
      <c r="B27" s="76"/>
      <c r="C27" s="76"/>
      <c r="D27" s="76"/>
      <c r="E27" s="76"/>
      <c r="F27" s="76"/>
      <c r="G27" s="76"/>
    </row>
  </sheetData>
  <sheetProtection/>
  <mergeCells count="9">
    <mergeCell ref="A27:G27"/>
    <mergeCell ref="A23:G23"/>
    <mergeCell ref="A24:G24"/>
    <mergeCell ref="A25:G25"/>
    <mergeCell ref="A26:G26"/>
    <mergeCell ref="A2:G2"/>
    <mergeCell ref="C6:C14"/>
    <mergeCell ref="A21:G21"/>
    <mergeCell ref="A22:G22"/>
  </mergeCells>
  <printOptions/>
  <pageMargins left="0.3937007874015748" right="0.3937007874015748" top="0.5905511811023623" bottom="0.3937007874015748" header="0.5118110236220472" footer="0.5118110236220472"/>
  <pageSetup fitToHeight="1" fitToWidth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6"/>
  <sheetViews>
    <sheetView zoomScale="75" zoomScaleNormal="75" zoomScalePageLayoutView="0" workbookViewId="0" topLeftCell="A1">
      <selection activeCell="A3" sqref="A3"/>
    </sheetView>
  </sheetViews>
  <sheetFormatPr defaultColWidth="8.8515625" defaultRowHeight="12.75"/>
  <cols>
    <col min="1" max="1" width="8.8515625" style="44" customWidth="1"/>
    <col min="2" max="2" width="64.57421875" style="44" customWidth="1"/>
    <col min="3" max="3" width="21.57421875" style="44" customWidth="1"/>
    <col min="4" max="16384" width="8.8515625" style="43" customWidth="1"/>
  </cols>
  <sheetData>
    <row r="2" spans="1:3" ht="15.75">
      <c r="A2" s="89" t="s">
        <v>229</v>
      </c>
      <c r="B2" s="89"/>
      <c r="C2" s="89"/>
    </row>
    <row r="4" spans="1:3" ht="47.25">
      <c r="A4" s="46" t="s">
        <v>92</v>
      </c>
      <c r="B4" s="46" t="s">
        <v>91</v>
      </c>
      <c r="C4" s="46" t="s">
        <v>93</v>
      </c>
    </row>
    <row r="5" spans="1:3" ht="15.75">
      <c r="A5" s="47" t="s">
        <v>0</v>
      </c>
      <c r="B5" s="48" t="s">
        <v>94</v>
      </c>
      <c r="C5" s="47"/>
    </row>
    <row r="6" spans="1:3" ht="15.75">
      <c r="A6" s="47" t="s">
        <v>1</v>
      </c>
      <c r="B6" s="48" t="s">
        <v>95</v>
      </c>
      <c r="C6" s="47">
        <v>365</v>
      </c>
    </row>
    <row r="7" spans="1:3" ht="24" customHeight="1">
      <c r="A7" s="47" t="s">
        <v>2</v>
      </c>
      <c r="B7" s="48" t="s">
        <v>100</v>
      </c>
      <c r="C7" s="47"/>
    </row>
    <row r="8" spans="1:3" ht="15.75">
      <c r="A8" s="46" t="s">
        <v>96</v>
      </c>
      <c r="B8" s="49" t="s">
        <v>101</v>
      </c>
      <c r="C8" s="46"/>
    </row>
    <row r="9" spans="1:3" ht="40.5" customHeight="1">
      <c r="A9" s="46" t="s">
        <v>97</v>
      </c>
      <c r="B9" s="49" t="s">
        <v>124</v>
      </c>
      <c r="C9" s="46"/>
    </row>
    <row r="10" spans="1:3" ht="28.5" customHeight="1">
      <c r="A10" s="46" t="s">
        <v>98</v>
      </c>
      <c r="B10" s="49" t="s">
        <v>123</v>
      </c>
      <c r="C10" s="46"/>
    </row>
    <row r="11" spans="1:3" ht="51" customHeight="1">
      <c r="A11" s="46" t="s">
        <v>99</v>
      </c>
      <c r="B11" s="49" t="s">
        <v>102</v>
      </c>
      <c r="C11" s="46"/>
    </row>
    <row r="12" spans="1:3" ht="15.75">
      <c r="A12" s="47" t="s">
        <v>4</v>
      </c>
      <c r="B12" s="48" t="s">
        <v>103</v>
      </c>
      <c r="C12" s="47">
        <f>C6-C7</f>
        <v>365</v>
      </c>
    </row>
    <row r="13" spans="1:3" ht="26.25" customHeight="1">
      <c r="A13" s="47" t="s">
        <v>7</v>
      </c>
      <c r="B13" s="48" t="s">
        <v>104</v>
      </c>
      <c r="C13" s="47"/>
    </row>
    <row r="14" spans="1:3" ht="15.75">
      <c r="A14" s="46" t="s">
        <v>105</v>
      </c>
      <c r="B14" s="49" t="s">
        <v>106</v>
      </c>
      <c r="C14" s="46"/>
    </row>
    <row r="15" spans="1:3" ht="15.75">
      <c r="A15" s="46" t="s">
        <v>107</v>
      </c>
      <c r="B15" s="49" t="s">
        <v>111</v>
      </c>
      <c r="C15" s="46"/>
    </row>
    <row r="16" spans="1:3" ht="15.75">
      <c r="A16" s="46" t="s">
        <v>108</v>
      </c>
      <c r="B16" s="49" t="s">
        <v>112</v>
      </c>
      <c r="C16" s="46"/>
    </row>
    <row r="17" spans="1:3" ht="15.75">
      <c r="A17" s="46" t="s">
        <v>109</v>
      </c>
      <c r="B17" s="49" t="s">
        <v>113</v>
      </c>
      <c r="C17" s="46"/>
    </row>
    <row r="18" spans="1:3" ht="15.75">
      <c r="A18" s="46" t="s">
        <v>110</v>
      </c>
      <c r="B18" s="49" t="s">
        <v>114</v>
      </c>
      <c r="C18" s="46"/>
    </row>
    <row r="19" spans="1:3" s="45" customFormat="1" ht="15.75">
      <c r="A19" s="47" t="s">
        <v>115</v>
      </c>
      <c r="B19" s="48" t="s">
        <v>117</v>
      </c>
      <c r="C19" s="47">
        <f>C12-C13</f>
        <v>365</v>
      </c>
    </row>
    <row r="20" spans="1:3" s="45" customFormat="1" ht="22.5" customHeight="1">
      <c r="A20" s="47" t="s">
        <v>116</v>
      </c>
      <c r="B20" s="48" t="s">
        <v>118</v>
      </c>
      <c r="C20" s="47">
        <f>((C14-C11)+(C15+C17))/C19*100</f>
        <v>0</v>
      </c>
    </row>
    <row r="22" spans="1:3" ht="15.75">
      <c r="A22" s="90" t="s">
        <v>125</v>
      </c>
      <c r="B22" s="90"/>
      <c r="C22" s="90"/>
    </row>
    <row r="23" spans="1:3" ht="15.75">
      <c r="A23" s="87" t="s">
        <v>144</v>
      </c>
      <c r="B23" s="87"/>
      <c r="C23" s="87"/>
    </row>
    <row r="24" spans="1:3" ht="31.5" customHeight="1">
      <c r="A24" s="87" t="s">
        <v>126</v>
      </c>
      <c r="B24" s="87"/>
      <c r="C24" s="87"/>
    </row>
    <row r="25" spans="1:3" ht="15.75">
      <c r="A25" s="88"/>
      <c r="B25" s="88"/>
      <c r="C25" s="88"/>
    </row>
    <row r="26" spans="1:2" ht="15.75">
      <c r="A26" s="43"/>
      <c r="B26" s="43"/>
    </row>
  </sheetData>
  <sheetProtection/>
  <mergeCells count="5">
    <mergeCell ref="A24:C24"/>
    <mergeCell ref="A25:C25"/>
    <mergeCell ref="A2:C2"/>
    <mergeCell ref="A22:C22"/>
    <mergeCell ref="A23:C23"/>
  </mergeCells>
  <printOptions/>
  <pageMargins left="0.3937007874015748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5"/>
  <sheetViews>
    <sheetView zoomScalePageLayoutView="0" workbookViewId="0" topLeftCell="A1">
      <selection activeCell="I12" sqref="I12"/>
    </sheetView>
  </sheetViews>
  <sheetFormatPr defaultColWidth="9.140625" defaultRowHeight="12.75"/>
  <cols>
    <col min="1" max="1" width="70.140625" style="0" customWidth="1"/>
    <col min="2" max="2" width="12.421875" style="0" customWidth="1"/>
    <col min="3" max="3" width="15.28125" style="0" customWidth="1"/>
    <col min="5" max="5" width="14.00390625" style="0" customWidth="1"/>
    <col min="6" max="6" width="9.140625" style="72" customWidth="1"/>
  </cols>
  <sheetData>
    <row r="2" spans="1:5" ht="12.75">
      <c r="A2" s="91" t="s">
        <v>136</v>
      </c>
      <c r="B2" s="91"/>
      <c r="C2" s="91"/>
      <c r="D2" s="91"/>
      <c r="E2" s="91"/>
    </row>
    <row r="3" spans="1:5" ht="12.75">
      <c r="A3" s="92" t="s">
        <v>89</v>
      </c>
      <c r="B3" s="92"/>
      <c r="C3" s="92"/>
      <c r="D3" s="92"/>
      <c r="E3" s="92"/>
    </row>
    <row r="5" spans="1:6" ht="83.25" customHeight="1">
      <c r="A5" s="73" t="s">
        <v>60</v>
      </c>
      <c r="B5" s="52" t="s">
        <v>57</v>
      </c>
      <c r="C5" s="52" t="s">
        <v>58</v>
      </c>
      <c r="D5" s="52" t="s">
        <v>62</v>
      </c>
      <c r="E5" s="52" t="s">
        <v>59</v>
      </c>
      <c r="F5" s="53" t="s">
        <v>63</v>
      </c>
    </row>
    <row r="6" spans="1:3" ht="12.75" hidden="1">
      <c r="A6" s="21"/>
      <c r="B6" s="22"/>
      <c r="C6" s="28"/>
    </row>
    <row r="7" spans="1:3" ht="12.75" hidden="1">
      <c r="A7" s="21"/>
      <c r="B7" s="22"/>
      <c r="C7" s="28"/>
    </row>
    <row r="8" spans="1:3" ht="13.5" customHeight="1" hidden="1">
      <c r="A8" s="21"/>
      <c r="B8" s="22"/>
      <c r="C8" s="28"/>
    </row>
    <row r="9" spans="1:3" ht="12.75" hidden="1">
      <c r="A9" s="21"/>
      <c r="B9" s="22"/>
      <c r="C9" s="28"/>
    </row>
    <row r="10" spans="1:3" ht="12.75" hidden="1">
      <c r="A10" s="21"/>
      <c r="B10" s="22"/>
      <c r="C10" s="28"/>
    </row>
    <row r="11" spans="1:6" ht="12.75">
      <c r="A11" s="74" t="s">
        <v>166</v>
      </c>
      <c r="B11" s="100" t="s">
        <v>165</v>
      </c>
      <c r="C11" s="101">
        <v>50990</v>
      </c>
      <c r="D11" s="102">
        <v>84</v>
      </c>
      <c r="E11" s="101">
        <v>7284.24</v>
      </c>
      <c r="F11" s="101">
        <f>E11/12</f>
        <v>607.02</v>
      </c>
    </row>
    <row r="12" spans="1:6" ht="25.5">
      <c r="A12" s="74" t="s">
        <v>187</v>
      </c>
      <c r="B12" s="100" t="s">
        <v>175</v>
      </c>
      <c r="C12" s="101">
        <v>55400</v>
      </c>
      <c r="D12" s="102">
        <v>84</v>
      </c>
      <c r="E12" s="101">
        <v>7914.24</v>
      </c>
      <c r="F12" s="101">
        <f aca="true" t="shared" si="0" ref="F12:F54">E12/12</f>
        <v>659.52</v>
      </c>
    </row>
    <row r="13" spans="1:6" ht="25.5">
      <c r="A13" s="74" t="s">
        <v>188</v>
      </c>
      <c r="B13" s="100" t="s">
        <v>189</v>
      </c>
      <c r="C13" s="101">
        <v>158000</v>
      </c>
      <c r="D13" s="102">
        <v>36</v>
      </c>
      <c r="E13" s="101">
        <v>52666.68</v>
      </c>
      <c r="F13" s="101">
        <f t="shared" si="0"/>
        <v>4388.89</v>
      </c>
    </row>
    <row r="14" spans="1:6" ht="12.75">
      <c r="A14" s="74" t="s">
        <v>190</v>
      </c>
      <c r="B14" s="100" t="s">
        <v>191</v>
      </c>
      <c r="C14" s="101">
        <v>250000</v>
      </c>
      <c r="D14" s="102">
        <v>36</v>
      </c>
      <c r="E14" s="101">
        <v>13888.88</v>
      </c>
      <c r="F14" s="101">
        <f t="shared" si="0"/>
        <v>1157.4066666666665</v>
      </c>
    </row>
    <row r="15" spans="1:6" ht="12.75">
      <c r="A15" s="74" t="s">
        <v>192</v>
      </c>
      <c r="B15" s="100" t="s">
        <v>191</v>
      </c>
      <c r="C15" s="101">
        <v>250000</v>
      </c>
      <c r="D15" s="102">
        <v>36</v>
      </c>
      <c r="E15" s="101">
        <v>13888.88</v>
      </c>
      <c r="F15" s="101">
        <f t="shared" si="0"/>
        <v>1157.4066666666665</v>
      </c>
    </row>
    <row r="16" spans="1:6" ht="12.75">
      <c r="A16" s="74" t="s">
        <v>193</v>
      </c>
      <c r="B16" s="100" t="s">
        <v>194</v>
      </c>
      <c r="C16" s="101">
        <v>187060</v>
      </c>
      <c r="D16" s="102">
        <v>60</v>
      </c>
      <c r="E16" s="101">
        <v>37412.04</v>
      </c>
      <c r="F16" s="101">
        <f t="shared" si="0"/>
        <v>3117.67</v>
      </c>
    </row>
    <row r="17" spans="1:6" ht="15" customHeight="1">
      <c r="A17" s="74" t="s">
        <v>195</v>
      </c>
      <c r="B17" s="100" t="s">
        <v>194</v>
      </c>
      <c r="C17" s="101">
        <v>187060</v>
      </c>
      <c r="D17" s="102">
        <v>60</v>
      </c>
      <c r="E17" s="101">
        <v>37412.04</v>
      </c>
      <c r="F17" s="101">
        <f t="shared" si="0"/>
        <v>3117.67</v>
      </c>
    </row>
    <row r="18" spans="1:6" ht="12.75">
      <c r="A18" s="74" t="s">
        <v>196</v>
      </c>
      <c r="B18" s="100" t="s">
        <v>194</v>
      </c>
      <c r="C18" s="101">
        <v>187060</v>
      </c>
      <c r="D18" s="102">
        <v>60</v>
      </c>
      <c r="E18" s="101">
        <v>37412.04</v>
      </c>
      <c r="F18" s="101">
        <f t="shared" si="0"/>
        <v>3117.67</v>
      </c>
    </row>
    <row r="19" spans="1:6" ht="12.75">
      <c r="A19" s="74" t="s">
        <v>197</v>
      </c>
      <c r="B19" s="100" t="s">
        <v>194</v>
      </c>
      <c r="C19" s="101">
        <v>187060</v>
      </c>
      <c r="D19" s="102">
        <v>60</v>
      </c>
      <c r="E19" s="101">
        <v>37412.04</v>
      </c>
      <c r="F19" s="101">
        <f t="shared" si="0"/>
        <v>3117.67</v>
      </c>
    </row>
    <row r="20" spans="1:6" ht="12.75">
      <c r="A20" s="74" t="s">
        <v>198</v>
      </c>
      <c r="B20" s="100" t="s">
        <v>194</v>
      </c>
      <c r="C20" s="101">
        <v>187060</v>
      </c>
      <c r="D20" s="102">
        <v>60</v>
      </c>
      <c r="E20" s="101">
        <v>37412.04</v>
      </c>
      <c r="F20" s="101">
        <f t="shared" si="0"/>
        <v>3117.67</v>
      </c>
    </row>
    <row r="21" spans="1:6" ht="25.5">
      <c r="A21" s="74" t="s">
        <v>170</v>
      </c>
      <c r="B21" s="100" t="s">
        <v>171</v>
      </c>
      <c r="C21" s="101">
        <v>158000</v>
      </c>
      <c r="D21" s="102">
        <v>60</v>
      </c>
      <c r="E21" s="101">
        <v>31599.96</v>
      </c>
      <c r="F21" s="101">
        <f t="shared" si="0"/>
        <v>2633.33</v>
      </c>
    </row>
    <row r="22" spans="1:6" ht="25.5">
      <c r="A22" s="74" t="s">
        <v>170</v>
      </c>
      <c r="B22" s="100" t="s">
        <v>171</v>
      </c>
      <c r="C22" s="101">
        <v>158000</v>
      </c>
      <c r="D22" s="102">
        <v>60</v>
      </c>
      <c r="E22" s="101">
        <v>31599.96</v>
      </c>
      <c r="F22" s="101">
        <f t="shared" si="0"/>
        <v>2633.33</v>
      </c>
    </row>
    <row r="23" spans="1:6" ht="25.5">
      <c r="A23" s="74" t="s">
        <v>170</v>
      </c>
      <c r="B23" s="100" t="s">
        <v>171</v>
      </c>
      <c r="C23" s="101">
        <v>158000</v>
      </c>
      <c r="D23" s="102">
        <v>60</v>
      </c>
      <c r="E23" s="101">
        <v>31599.96</v>
      </c>
      <c r="F23" s="101">
        <f t="shared" si="0"/>
        <v>2633.33</v>
      </c>
    </row>
    <row r="24" spans="1:6" ht="12.75">
      <c r="A24" s="74" t="s">
        <v>199</v>
      </c>
      <c r="B24" s="100" t="s">
        <v>174</v>
      </c>
      <c r="C24" s="101">
        <v>99400</v>
      </c>
      <c r="D24" s="102">
        <v>84</v>
      </c>
      <c r="E24" s="101">
        <v>14199.96</v>
      </c>
      <c r="F24" s="101">
        <f t="shared" si="0"/>
        <v>1183.33</v>
      </c>
    </row>
    <row r="25" spans="1:6" ht="12.75">
      <c r="A25" s="74" t="s">
        <v>200</v>
      </c>
      <c r="B25" s="100" t="s">
        <v>201</v>
      </c>
      <c r="C25" s="101">
        <v>77088</v>
      </c>
      <c r="D25" s="102">
        <v>84</v>
      </c>
      <c r="E25" s="101">
        <v>11012.52</v>
      </c>
      <c r="F25" s="101">
        <f t="shared" si="0"/>
        <v>917.71</v>
      </c>
    </row>
    <row r="26" spans="1:6" ht="18" customHeight="1">
      <c r="A26" s="74" t="s">
        <v>172</v>
      </c>
      <c r="B26" s="100" t="s">
        <v>173</v>
      </c>
      <c r="C26" s="101">
        <v>96800</v>
      </c>
      <c r="D26" s="102">
        <v>84</v>
      </c>
      <c r="E26" s="101">
        <v>13828.56</v>
      </c>
      <c r="F26" s="101">
        <f t="shared" si="0"/>
        <v>1152.3799999999999</v>
      </c>
    </row>
    <row r="27" spans="1:6" ht="25.5">
      <c r="A27" s="74" t="s">
        <v>202</v>
      </c>
      <c r="B27" s="100" t="s">
        <v>203</v>
      </c>
      <c r="C27" s="101">
        <v>187720</v>
      </c>
      <c r="D27" s="102">
        <v>36</v>
      </c>
      <c r="E27" s="101">
        <v>62573.28</v>
      </c>
      <c r="F27" s="101">
        <f t="shared" si="0"/>
        <v>5214.44</v>
      </c>
    </row>
    <row r="28" spans="1:6" ht="26.25" customHeight="1">
      <c r="A28" s="74" t="s">
        <v>204</v>
      </c>
      <c r="B28" s="100" t="s">
        <v>203</v>
      </c>
      <c r="C28" s="101">
        <v>187720</v>
      </c>
      <c r="D28" s="102">
        <v>36</v>
      </c>
      <c r="E28" s="101">
        <v>62573.28</v>
      </c>
      <c r="F28" s="101">
        <f t="shared" si="0"/>
        <v>5214.44</v>
      </c>
    </row>
    <row r="29" spans="1:6" ht="12.75">
      <c r="A29" s="74" t="s">
        <v>205</v>
      </c>
      <c r="B29" s="100" t="s">
        <v>206</v>
      </c>
      <c r="C29" s="101">
        <v>25070</v>
      </c>
      <c r="D29" s="102">
        <v>60</v>
      </c>
      <c r="E29" s="101">
        <v>25070</v>
      </c>
      <c r="F29" s="101">
        <f t="shared" si="0"/>
        <v>2089.1666666666665</v>
      </c>
    </row>
    <row r="30" spans="1:6" ht="26.25" customHeight="1">
      <c r="A30" s="74" t="s">
        <v>207</v>
      </c>
      <c r="B30" s="100" t="s">
        <v>208</v>
      </c>
      <c r="C30" s="101">
        <v>305617</v>
      </c>
      <c r="D30" s="102">
        <v>36</v>
      </c>
      <c r="E30" s="101">
        <v>305617</v>
      </c>
      <c r="F30" s="101">
        <f t="shared" si="0"/>
        <v>25468.083333333332</v>
      </c>
    </row>
    <row r="31" spans="1:6" ht="12.75">
      <c r="A31" s="74" t="s">
        <v>209</v>
      </c>
      <c r="B31" s="100" t="s">
        <v>208</v>
      </c>
      <c r="C31" s="101">
        <v>26245</v>
      </c>
      <c r="D31" s="102">
        <v>36</v>
      </c>
      <c r="E31" s="101">
        <v>26245</v>
      </c>
      <c r="F31" s="101">
        <f t="shared" si="0"/>
        <v>2187.0833333333335</v>
      </c>
    </row>
    <row r="32" spans="1:6" ht="24" customHeight="1">
      <c r="A32" s="74" t="s">
        <v>158</v>
      </c>
      <c r="B32" s="100" t="s">
        <v>159</v>
      </c>
      <c r="C32" s="101">
        <v>25000</v>
      </c>
      <c r="D32" s="102">
        <v>60</v>
      </c>
      <c r="E32" s="101">
        <v>2499.82</v>
      </c>
      <c r="F32" s="101">
        <f t="shared" si="0"/>
        <v>208.31833333333336</v>
      </c>
    </row>
    <row r="33" spans="1:6" ht="25.5">
      <c r="A33" s="74" t="s">
        <v>176</v>
      </c>
      <c r="B33" s="100" t="s">
        <v>177</v>
      </c>
      <c r="C33" s="101">
        <v>99500</v>
      </c>
      <c r="D33" s="102">
        <v>60</v>
      </c>
      <c r="E33" s="101">
        <v>19899.96</v>
      </c>
      <c r="F33" s="101">
        <f t="shared" si="0"/>
        <v>1658.33</v>
      </c>
    </row>
    <row r="34" spans="1:6" s="16" customFormat="1" ht="36" customHeight="1">
      <c r="A34" s="74" t="s">
        <v>210</v>
      </c>
      <c r="B34" s="100" t="s">
        <v>211</v>
      </c>
      <c r="C34" s="101">
        <v>40036.05</v>
      </c>
      <c r="D34" s="102">
        <v>84</v>
      </c>
      <c r="E34" s="101">
        <v>5719.44</v>
      </c>
      <c r="F34" s="101">
        <f t="shared" si="0"/>
        <v>476.61999999999995</v>
      </c>
    </row>
    <row r="35" spans="1:6" ht="12.75">
      <c r="A35" s="74" t="s">
        <v>212</v>
      </c>
      <c r="B35" s="100" t="s">
        <v>211</v>
      </c>
      <c r="C35" s="101">
        <v>75424.25</v>
      </c>
      <c r="D35" s="102">
        <v>84</v>
      </c>
      <c r="E35" s="101">
        <v>10774.92</v>
      </c>
      <c r="F35" s="101">
        <f t="shared" si="0"/>
        <v>897.91</v>
      </c>
    </row>
    <row r="36" spans="1:6" ht="25.5">
      <c r="A36" s="74" t="s">
        <v>179</v>
      </c>
      <c r="B36" s="100" t="s">
        <v>178</v>
      </c>
      <c r="C36" s="101">
        <v>76000</v>
      </c>
      <c r="D36" s="102">
        <v>36</v>
      </c>
      <c r="E36" s="101">
        <v>25333.32</v>
      </c>
      <c r="F36" s="101">
        <f t="shared" si="0"/>
        <v>2111.11</v>
      </c>
    </row>
    <row r="37" spans="1:6" ht="12.75">
      <c r="A37" s="74" t="s">
        <v>213</v>
      </c>
      <c r="B37" s="100" t="s">
        <v>211</v>
      </c>
      <c r="C37" s="101">
        <v>22478.94</v>
      </c>
      <c r="D37" s="102">
        <v>84</v>
      </c>
      <c r="E37" s="101">
        <v>3211.32</v>
      </c>
      <c r="F37" s="101">
        <f t="shared" si="0"/>
        <v>267.61</v>
      </c>
    </row>
    <row r="38" spans="1:6" ht="12.75">
      <c r="A38" s="74" t="s">
        <v>180</v>
      </c>
      <c r="B38" s="100" t="s">
        <v>181</v>
      </c>
      <c r="C38" s="101">
        <v>62785</v>
      </c>
      <c r="D38" s="102">
        <v>60</v>
      </c>
      <c r="E38" s="101">
        <v>12557.04</v>
      </c>
      <c r="F38" s="101">
        <f t="shared" si="0"/>
        <v>1046.42</v>
      </c>
    </row>
    <row r="39" spans="1:6" ht="12.75">
      <c r="A39" s="74" t="s">
        <v>214</v>
      </c>
      <c r="B39" s="100" t="s">
        <v>215</v>
      </c>
      <c r="C39" s="101">
        <v>464650</v>
      </c>
      <c r="D39" s="102">
        <v>84</v>
      </c>
      <c r="E39" s="101">
        <v>27657.72</v>
      </c>
      <c r="F39" s="101">
        <f t="shared" si="0"/>
        <v>2304.81</v>
      </c>
    </row>
    <row r="40" spans="1:6" ht="12.75">
      <c r="A40" s="74" t="s">
        <v>216</v>
      </c>
      <c r="B40" s="100" t="s">
        <v>215</v>
      </c>
      <c r="C40" s="101">
        <v>64948.32</v>
      </c>
      <c r="D40" s="102">
        <v>120</v>
      </c>
      <c r="E40" s="103">
        <v>978.6</v>
      </c>
      <c r="F40" s="101">
        <f t="shared" si="0"/>
        <v>81.55</v>
      </c>
    </row>
    <row r="41" spans="1:6" ht="12.75">
      <c r="A41" s="74" t="s">
        <v>150</v>
      </c>
      <c r="B41" s="100" t="s">
        <v>151</v>
      </c>
      <c r="C41" s="101">
        <v>20990</v>
      </c>
      <c r="D41" s="102">
        <v>84</v>
      </c>
      <c r="E41" s="101">
        <v>2998.56</v>
      </c>
      <c r="F41" s="101">
        <f t="shared" si="0"/>
        <v>249.88</v>
      </c>
    </row>
    <row r="42" spans="1:6" ht="12.75">
      <c r="A42" s="74" t="s">
        <v>217</v>
      </c>
      <c r="B42" s="100" t="s">
        <v>218</v>
      </c>
      <c r="C42" s="101">
        <v>75440</v>
      </c>
      <c r="D42" s="102">
        <v>120</v>
      </c>
      <c r="E42" s="101">
        <v>7544.04</v>
      </c>
      <c r="F42" s="101">
        <f t="shared" si="0"/>
        <v>628.67</v>
      </c>
    </row>
    <row r="43" spans="1:6" ht="12.75">
      <c r="A43" s="74" t="s">
        <v>152</v>
      </c>
      <c r="B43" s="100" t="s">
        <v>153</v>
      </c>
      <c r="C43" s="101">
        <v>48937.5</v>
      </c>
      <c r="D43" s="102">
        <v>84</v>
      </c>
      <c r="E43" s="101">
        <v>6991.08</v>
      </c>
      <c r="F43" s="101">
        <f t="shared" si="0"/>
        <v>582.59</v>
      </c>
    </row>
    <row r="44" spans="1:6" ht="12.75">
      <c r="A44" s="74" t="s">
        <v>219</v>
      </c>
      <c r="B44" s="100" t="s">
        <v>153</v>
      </c>
      <c r="C44" s="101">
        <v>55416.93</v>
      </c>
      <c r="D44" s="102">
        <v>180</v>
      </c>
      <c r="E44" s="101">
        <v>3694.44</v>
      </c>
      <c r="F44" s="101">
        <f t="shared" si="0"/>
        <v>307.87</v>
      </c>
    </row>
    <row r="45" spans="1:6" ht="12.75">
      <c r="A45" s="74" t="s">
        <v>220</v>
      </c>
      <c r="B45" s="100" t="s">
        <v>221</v>
      </c>
      <c r="C45" s="101">
        <v>28386.6</v>
      </c>
      <c r="D45" s="102">
        <v>120</v>
      </c>
      <c r="E45" s="101">
        <v>2838.6</v>
      </c>
      <c r="F45" s="101">
        <f t="shared" si="0"/>
        <v>236.54999999999998</v>
      </c>
    </row>
    <row r="46" spans="1:6" ht="12.75">
      <c r="A46" s="74" t="s">
        <v>222</v>
      </c>
      <c r="B46" s="100" t="s">
        <v>211</v>
      </c>
      <c r="C46" s="101">
        <v>250550.48</v>
      </c>
      <c r="D46" s="102">
        <v>120</v>
      </c>
      <c r="E46" s="101">
        <v>25055.04</v>
      </c>
      <c r="F46" s="101">
        <f t="shared" si="0"/>
        <v>2087.92</v>
      </c>
    </row>
    <row r="47" spans="1:6" ht="12.75">
      <c r="A47" s="74" t="s">
        <v>223</v>
      </c>
      <c r="B47" s="100" t="s">
        <v>211</v>
      </c>
      <c r="C47" s="101">
        <v>24370.44</v>
      </c>
      <c r="D47" s="102">
        <v>120</v>
      </c>
      <c r="E47" s="101">
        <v>2437.08</v>
      </c>
      <c r="F47" s="101">
        <f t="shared" si="0"/>
        <v>203.09</v>
      </c>
    </row>
    <row r="48" spans="1:6" ht="12.75">
      <c r="A48" s="74" t="s">
        <v>167</v>
      </c>
      <c r="B48" s="100" t="s">
        <v>168</v>
      </c>
      <c r="C48" s="101">
        <v>41680</v>
      </c>
      <c r="D48" s="102">
        <v>84</v>
      </c>
      <c r="E48" s="101">
        <v>5954.28</v>
      </c>
      <c r="F48" s="101">
        <f t="shared" si="0"/>
        <v>496.19</v>
      </c>
    </row>
    <row r="49" spans="1:6" ht="12.75">
      <c r="A49" s="74" t="s">
        <v>155</v>
      </c>
      <c r="B49" s="100" t="s">
        <v>156</v>
      </c>
      <c r="C49" s="101">
        <v>30000</v>
      </c>
      <c r="D49" s="102">
        <v>84</v>
      </c>
      <c r="E49" s="103">
        <v>0.24</v>
      </c>
      <c r="F49" s="101">
        <f t="shared" si="0"/>
        <v>0.02</v>
      </c>
    </row>
    <row r="50" spans="1:6" ht="12.75">
      <c r="A50" s="74" t="s">
        <v>157</v>
      </c>
      <c r="B50" s="100" t="s">
        <v>154</v>
      </c>
      <c r="C50" s="101">
        <v>33588.94</v>
      </c>
      <c r="D50" s="102">
        <v>180</v>
      </c>
      <c r="E50" s="101">
        <v>2646.6</v>
      </c>
      <c r="F50" s="101">
        <f t="shared" si="0"/>
        <v>220.54999999999998</v>
      </c>
    </row>
    <row r="51" spans="1:6" ht="12.75">
      <c r="A51" s="74" t="s">
        <v>224</v>
      </c>
      <c r="B51" s="100" t="s">
        <v>211</v>
      </c>
      <c r="C51" s="101">
        <v>34548.33</v>
      </c>
      <c r="D51" s="102">
        <v>120</v>
      </c>
      <c r="E51" s="101">
        <v>3454.8</v>
      </c>
      <c r="F51" s="101">
        <f t="shared" si="0"/>
        <v>287.90000000000003</v>
      </c>
    </row>
    <row r="52" spans="1:6" ht="12.75">
      <c r="A52" s="74" t="s">
        <v>225</v>
      </c>
      <c r="B52" s="100" t="s">
        <v>226</v>
      </c>
      <c r="C52" s="101">
        <v>40958</v>
      </c>
      <c r="D52" s="102">
        <v>60</v>
      </c>
      <c r="E52" s="101">
        <v>40958</v>
      </c>
      <c r="F52" s="101">
        <f t="shared" si="0"/>
        <v>3413.1666666666665</v>
      </c>
    </row>
    <row r="53" spans="1:6" ht="12.75">
      <c r="A53" s="74" t="s">
        <v>227</v>
      </c>
      <c r="B53" s="100" t="s">
        <v>226</v>
      </c>
      <c r="C53" s="101">
        <v>64002</v>
      </c>
      <c r="D53" s="102">
        <v>60</v>
      </c>
      <c r="E53" s="101">
        <v>64002</v>
      </c>
      <c r="F53" s="101">
        <f t="shared" si="0"/>
        <v>5333.5</v>
      </c>
    </row>
    <row r="54" spans="1:6" ht="12.75">
      <c r="A54" s="74" t="s">
        <v>228</v>
      </c>
      <c r="B54" s="100" t="s">
        <v>154</v>
      </c>
      <c r="C54" s="101">
        <v>71178.42</v>
      </c>
      <c r="D54" s="102">
        <v>180</v>
      </c>
      <c r="E54" s="101">
        <v>5634.24</v>
      </c>
      <c r="F54" s="101">
        <f t="shared" si="0"/>
        <v>469.52</v>
      </c>
    </row>
    <row r="55" spans="1:6" ht="12.75">
      <c r="A55" s="104"/>
      <c r="B55" s="104"/>
      <c r="C55" s="105">
        <f>SUM(C11:C54)</f>
        <v>4930220.2</v>
      </c>
      <c r="D55" s="104"/>
      <c r="E55" s="105">
        <f>SUM(E11:E54)</f>
        <v>1181463.7400000002</v>
      </c>
      <c r="F55" s="105">
        <f>SUM(F11:F54)</f>
        <v>98455.31166666666</v>
      </c>
    </row>
  </sheetData>
  <sheetProtection/>
  <mergeCells count="2">
    <mergeCell ref="A2:E2"/>
    <mergeCell ref="A3:E3"/>
  </mergeCells>
  <printOptions/>
  <pageMargins left="0.75" right="0.75" top="1" bottom="1" header="0.5" footer="0.5"/>
  <pageSetup fitToHeight="1" fitToWidth="1"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H28" sqref="H28"/>
    </sheetView>
  </sheetViews>
  <sheetFormatPr defaultColWidth="8.8515625" defaultRowHeight="12.75"/>
  <cols>
    <col min="1" max="1" width="3.140625" style="54" customWidth="1"/>
    <col min="2" max="2" width="23.7109375" style="54" customWidth="1"/>
    <col min="3" max="3" width="7.8515625" style="54" customWidth="1"/>
    <col min="4" max="4" width="7.28125" style="54" customWidth="1"/>
    <col min="5" max="5" width="10.57421875" style="54" customWidth="1"/>
    <col min="6" max="6" width="10.421875" style="54" customWidth="1"/>
    <col min="7" max="7" width="11.00390625" style="54" customWidth="1"/>
    <col min="8" max="8" width="11.8515625" style="54" customWidth="1"/>
    <col min="9" max="16384" width="8.8515625" style="54" customWidth="1"/>
  </cols>
  <sheetData>
    <row r="1" spans="1:8" ht="15.75">
      <c r="A1" s="95" t="s">
        <v>137</v>
      </c>
      <c r="B1" s="95"/>
      <c r="C1" s="95"/>
      <c r="D1" s="95"/>
      <c r="E1" s="95"/>
      <c r="F1" s="95"/>
      <c r="G1" s="95"/>
      <c r="H1" s="95"/>
    </row>
    <row r="2" spans="1:8" ht="15.75">
      <c r="A2" s="55"/>
      <c r="B2" s="55"/>
      <c r="C2" s="55"/>
      <c r="D2" s="55"/>
      <c r="E2" s="55"/>
      <c r="F2" s="55"/>
      <c r="G2" s="55"/>
      <c r="H2" s="55"/>
    </row>
    <row r="4" spans="1:8" ht="78.75">
      <c r="A4" s="56" t="s">
        <v>64</v>
      </c>
      <c r="B4" s="56" t="s">
        <v>56</v>
      </c>
      <c r="C4" s="56" t="s">
        <v>65</v>
      </c>
      <c r="D4" s="56" t="s">
        <v>66</v>
      </c>
      <c r="E4" s="56" t="s">
        <v>162</v>
      </c>
      <c r="F4" s="56" t="s">
        <v>163</v>
      </c>
      <c r="G4" s="56" t="s">
        <v>67</v>
      </c>
      <c r="H4" s="57" t="s">
        <v>68</v>
      </c>
    </row>
    <row r="5" spans="1:8" ht="15.75">
      <c r="A5" s="58">
        <v>1</v>
      </c>
      <c r="B5" s="58" t="s">
        <v>145</v>
      </c>
      <c r="C5" s="59">
        <v>400</v>
      </c>
      <c r="D5" s="60">
        <v>582.5</v>
      </c>
      <c r="E5" s="60">
        <v>233000</v>
      </c>
      <c r="F5" s="60">
        <v>100000</v>
      </c>
      <c r="G5" s="61">
        <v>233000</v>
      </c>
      <c r="H5" s="62">
        <f>SUM(G5/12)</f>
        <v>19416.666666666668</v>
      </c>
    </row>
    <row r="6" spans="1:8" ht="15.75">
      <c r="A6" s="58">
        <v>2</v>
      </c>
      <c r="B6" s="58" t="s">
        <v>146</v>
      </c>
      <c r="C6" s="58">
        <v>216</v>
      </c>
      <c r="D6" s="60">
        <v>250</v>
      </c>
      <c r="E6" s="60"/>
      <c r="F6" s="60">
        <v>100000</v>
      </c>
      <c r="G6" s="61"/>
      <c r="H6" s="62">
        <f>SUM(G6/12)</f>
        <v>0</v>
      </c>
    </row>
    <row r="7" spans="1:8" ht="15.75">
      <c r="A7" s="58">
        <v>3</v>
      </c>
      <c r="B7" s="58" t="s">
        <v>147</v>
      </c>
      <c r="C7" s="58">
        <v>340</v>
      </c>
      <c r="D7" s="60">
        <v>100</v>
      </c>
      <c r="E7" s="60">
        <v>34000</v>
      </c>
      <c r="F7" s="60">
        <v>150000</v>
      </c>
      <c r="G7" s="61">
        <v>34000</v>
      </c>
      <c r="H7" s="62">
        <f>SUM(G7/12)</f>
        <v>2833.3333333333335</v>
      </c>
    </row>
    <row r="8" spans="1:8" ht="15.75">
      <c r="A8" s="58"/>
      <c r="B8" s="58"/>
      <c r="C8" s="63"/>
      <c r="D8" s="60"/>
      <c r="E8" s="60"/>
      <c r="F8" s="60"/>
      <c r="G8" s="61">
        <f aca="true" t="shared" si="0" ref="G8:G22">SUM(C8*D8)</f>
        <v>0</v>
      </c>
      <c r="H8" s="62">
        <f aca="true" t="shared" si="1" ref="H8:H22">SUM(G8/12)</f>
        <v>0</v>
      </c>
    </row>
    <row r="9" spans="1:8" ht="15.75">
      <c r="A9" s="58"/>
      <c r="B9" s="58"/>
      <c r="C9" s="64"/>
      <c r="D9" s="60"/>
      <c r="E9" s="60"/>
      <c r="F9" s="60"/>
      <c r="G9" s="61">
        <f t="shared" si="0"/>
        <v>0</v>
      </c>
      <c r="H9" s="62">
        <f t="shared" si="1"/>
        <v>0</v>
      </c>
    </row>
    <row r="10" spans="1:8" ht="15.75">
      <c r="A10" s="58"/>
      <c r="B10" s="58"/>
      <c r="C10" s="58"/>
      <c r="D10" s="60"/>
      <c r="E10" s="60"/>
      <c r="F10" s="60"/>
      <c r="G10" s="61">
        <f t="shared" si="0"/>
        <v>0</v>
      </c>
      <c r="H10" s="62">
        <f t="shared" si="1"/>
        <v>0</v>
      </c>
    </row>
    <row r="11" spans="1:8" ht="15.75">
      <c r="A11" s="58"/>
      <c r="B11" s="58"/>
      <c r="C11" s="58"/>
      <c r="D11" s="60"/>
      <c r="E11" s="60"/>
      <c r="F11" s="60"/>
      <c r="G11" s="61">
        <f t="shared" si="0"/>
        <v>0</v>
      </c>
      <c r="H11" s="62">
        <f t="shared" si="1"/>
        <v>0</v>
      </c>
    </row>
    <row r="12" spans="1:8" ht="15.75">
      <c r="A12" s="58"/>
      <c r="B12" s="58"/>
      <c r="C12" s="58"/>
      <c r="D12" s="60"/>
      <c r="E12" s="60"/>
      <c r="F12" s="60"/>
      <c r="G12" s="61">
        <f t="shared" si="0"/>
        <v>0</v>
      </c>
      <c r="H12" s="62">
        <f t="shared" si="1"/>
        <v>0</v>
      </c>
    </row>
    <row r="13" spans="1:8" ht="15.75">
      <c r="A13" s="58"/>
      <c r="B13" s="58"/>
      <c r="C13" s="58"/>
      <c r="D13" s="60"/>
      <c r="E13" s="60"/>
      <c r="F13" s="60"/>
      <c r="G13" s="61">
        <f t="shared" si="0"/>
        <v>0</v>
      </c>
      <c r="H13" s="62">
        <f t="shared" si="1"/>
        <v>0</v>
      </c>
    </row>
    <row r="14" spans="1:8" ht="15.75">
      <c r="A14" s="58"/>
      <c r="B14" s="58"/>
      <c r="C14" s="58"/>
      <c r="D14" s="60"/>
      <c r="E14" s="60"/>
      <c r="F14" s="60"/>
      <c r="G14" s="61">
        <f t="shared" si="0"/>
        <v>0</v>
      </c>
      <c r="H14" s="62">
        <f t="shared" si="1"/>
        <v>0</v>
      </c>
    </row>
    <row r="15" spans="1:8" ht="15.75">
      <c r="A15" s="58"/>
      <c r="B15" s="58"/>
      <c r="C15" s="58"/>
      <c r="D15" s="60"/>
      <c r="E15" s="60"/>
      <c r="F15" s="60"/>
      <c r="G15" s="61">
        <f t="shared" si="0"/>
        <v>0</v>
      </c>
      <c r="H15" s="62">
        <f t="shared" si="1"/>
        <v>0</v>
      </c>
    </row>
    <row r="16" spans="1:8" ht="15.75">
      <c r="A16" s="58"/>
      <c r="B16" s="58"/>
      <c r="C16" s="58"/>
      <c r="D16" s="60"/>
      <c r="E16" s="60"/>
      <c r="F16" s="60"/>
      <c r="G16" s="61">
        <f t="shared" si="0"/>
        <v>0</v>
      </c>
      <c r="H16" s="62">
        <f t="shared" si="1"/>
        <v>0</v>
      </c>
    </row>
    <row r="17" spans="1:8" ht="15.75">
      <c r="A17" s="58"/>
      <c r="B17" s="58"/>
      <c r="C17" s="58"/>
      <c r="D17" s="60"/>
      <c r="E17" s="60"/>
      <c r="F17" s="60"/>
      <c r="G17" s="61">
        <f t="shared" si="0"/>
        <v>0</v>
      </c>
      <c r="H17" s="62">
        <f t="shared" si="1"/>
        <v>0</v>
      </c>
    </row>
    <row r="18" spans="1:8" ht="15.75">
      <c r="A18" s="58"/>
      <c r="B18" s="58"/>
      <c r="C18" s="58"/>
      <c r="D18" s="60"/>
      <c r="E18" s="60"/>
      <c r="F18" s="60"/>
      <c r="G18" s="61">
        <f t="shared" si="0"/>
        <v>0</v>
      </c>
      <c r="H18" s="62">
        <f t="shared" si="1"/>
        <v>0</v>
      </c>
    </row>
    <row r="19" spans="1:8" ht="15.75">
      <c r="A19" s="58"/>
      <c r="B19" s="58"/>
      <c r="C19" s="58"/>
      <c r="D19" s="60"/>
      <c r="E19" s="60"/>
      <c r="F19" s="60"/>
      <c r="G19" s="61">
        <f t="shared" si="0"/>
        <v>0</v>
      </c>
      <c r="H19" s="62">
        <f t="shared" si="1"/>
        <v>0</v>
      </c>
    </row>
    <row r="20" spans="1:8" ht="15.75">
      <c r="A20" s="58"/>
      <c r="B20" s="58"/>
      <c r="C20" s="58"/>
      <c r="D20" s="60"/>
      <c r="E20" s="60"/>
      <c r="F20" s="60"/>
      <c r="G20" s="61">
        <f t="shared" si="0"/>
        <v>0</v>
      </c>
      <c r="H20" s="62">
        <f t="shared" si="1"/>
        <v>0</v>
      </c>
    </row>
    <row r="21" spans="1:8" ht="15.75">
      <c r="A21" s="58"/>
      <c r="B21" s="58"/>
      <c r="C21" s="58"/>
      <c r="D21" s="60"/>
      <c r="E21" s="60"/>
      <c r="F21" s="60"/>
      <c r="G21" s="61">
        <f t="shared" si="0"/>
        <v>0</v>
      </c>
      <c r="H21" s="62">
        <f t="shared" si="1"/>
        <v>0</v>
      </c>
    </row>
    <row r="22" spans="1:8" ht="15.75">
      <c r="A22" s="58"/>
      <c r="B22" s="58"/>
      <c r="C22" s="58"/>
      <c r="D22" s="60"/>
      <c r="E22" s="60"/>
      <c r="F22" s="60"/>
      <c r="G22" s="61">
        <f t="shared" si="0"/>
        <v>0</v>
      </c>
      <c r="H22" s="62">
        <f t="shared" si="1"/>
        <v>0</v>
      </c>
    </row>
    <row r="23" spans="1:8" ht="15.75">
      <c r="A23" s="65"/>
      <c r="B23" s="65" t="s">
        <v>61</v>
      </c>
      <c r="C23" s="65"/>
      <c r="D23" s="65"/>
      <c r="E23" s="65"/>
      <c r="F23" s="65"/>
      <c r="G23" s="66">
        <f>SUM(G5:G22)</f>
        <v>267000</v>
      </c>
      <c r="H23" s="62">
        <f>SUM(H5:H22)</f>
        <v>22250</v>
      </c>
    </row>
    <row r="25" spans="1:8" ht="15.75">
      <c r="A25" s="96" t="s">
        <v>88</v>
      </c>
      <c r="B25" s="96"/>
      <c r="C25" s="96"/>
      <c r="D25" s="96"/>
      <c r="E25" s="96"/>
      <c r="F25" s="96"/>
      <c r="G25" s="96"/>
      <c r="H25" s="67">
        <v>786</v>
      </c>
    </row>
    <row r="27" spans="1:8" ht="15.75">
      <c r="A27" s="97" t="s">
        <v>133</v>
      </c>
      <c r="B27" s="97"/>
      <c r="C27" s="97"/>
      <c r="D27" s="97"/>
      <c r="E27" s="97"/>
      <c r="F27" s="97"/>
      <c r="G27" s="97"/>
      <c r="H27" s="68">
        <v>40</v>
      </c>
    </row>
    <row r="29" spans="1:8" ht="15.75">
      <c r="A29" s="94" t="s">
        <v>69</v>
      </c>
      <c r="B29" s="94"/>
      <c r="C29" s="94"/>
      <c r="D29" s="94"/>
      <c r="E29" s="94"/>
      <c r="F29" s="94"/>
      <c r="G29" s="94"/>
      <c r="H29" s="70">
        <f>SUM(H23/H25*H27)</f>
        <v>1132.3155216284986</v>
      </c>
    </row>
    <row r="31" spans="1:2" ht="15.75">
      <c r="A31" s="93" t="s">
        <v>127</v>
      </c>
      <c r="B31" s="93"/>
    </row>
    <row r="32" spans="1:8" ht="15.75">
      <c r="A32" s="93" t="s">
        <v>138</v>
      </c>
      <c r="B32" s="93"/>
      <c r="C32" s="93"/>
      <c r="D32" s="93"/>
      <c r="E32" s="93"/>
      <c r="F32" s="93"/>
      <c r="G32" s="93"/>
      <c r="H32" s="93"/>
    </row>
  </sheetData>
  <sheetProtection/>
  <mergeCells count="6">
    <mergeCell ref="A31:B31"/>
    <mergeCell ref="A32:H32"/>
    <mergeCell ref="A29:G29"/>
    <mergeCell ref="A1:H1"/>
    <mergeCell ref="A25:G25"/>
    <mergeCell ref="A27:G2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7"/>
  <sheetViews>
    <sheetView zoomScalePageLayoutView="0" workbookViewId="0" topLeftCell="A37">
      <selection activeCell="G20" sqref="G20"/>
    </sheetView>
  </sheetViews>
  <sheetFormatPr defaultColWidth="9.140625" defaultRowHeight="12.75"/>
  <cols>
    <col min="1" max="1" width="7.00390625" style="0" customWidth="1"/>
    <col min="2" max="2" width="54.8515625" style="0" customWidth="1"/>
    <col min="3" max="3" width="19.7109375" style="0" customWidth="1"/>
  </cols>
  <sheetData>
    <row r="1" spans="1:3" ht="12.75">
      <c r="A1" s="98" t="s">
        <v>139</v>
      </c>
      <c r="B1" s="98"/>
      <c r="C1" s="98"/>
    </row>
    <row r="2" spans="1:3" ht="12.75">
      <c r="A2" s="42"/>
      <c r="B2" s="98" t="s">
        <v>230</v>
      </c>
      <c r="C2" s="98"/>
    </row>
    <row r="3" spans="2:3" ht="15.75">
      <c r="B3" s="3"/>
      <c r="C3" s="3"/>
    </row>
    <row r="4" spans="1:3" s="16" customFormat="1" ht="39" customHeight="1">
      <c r="A4" s="36" t="s">
        <v>80</v>
      </c>
      <c r="B4" s="37" t="s">
        <v>41</v>
      </c>
      <c r="C4" s="38" t="s">
        <v>85</v>
      </c>
    </row>
    <row r="5" spans="1:3" ht="12.75">
      <c r="A5" s="2" t="s">
        <v>55</v>
      </c>
      <c r="B5" s="4" t="s">
        <v>90</v>
      </c>
      <c r="C5" s="32">
        <v>19476000</v>
      </c>
    </row>
    <row r="6" spans="1:3" ht="12.75">
      <c r="A6" s="2" t="s">
        <v>54</v>
      </c>
      <c r="B6" s="4" t="s">
        <v>169</v>
      </c>
      <c r="C6" s="32">
        <v>6039500.95</v>
      </c>
    </row>
    <row r="7" spans="1:3" ht="12.75">
      <c r="A7" s="2" t="s">
        <v>52</v>
      </c>
      <c r="B7" s="4" t="s">
        <v>11</v>
      </c>
      <c r="C7" s="32">
        <v>83400</v>
      </c>
    </row>
    <row r="8" spans="1:3" ht="12.75">
      <c r="A8" s="2" t="s">
        <v>53</v>
      </c>
      <c r="B8" s="4" t="s">
        <v>12</v>
      </c>
      <c r="C8" s="32">
        <v>5000</v>
      </c>
    </row>
    <row r="9" spans="1:3" ht="12.75">
      <c r="A9" s="2" t="s">
        <v>35</v>
      </c>
      <c r="B9" s="4" t="s">
        <v>36</v>
      </c>
      <c r="C9" s="32">
        <f>SUM(C10:C13)</f>
        <v>1427000</v>
      </c>
    </row>
    <row r="10" spans="1:3" ht="12.75">
      <c r="A10" s="2"/>
      <c r="B10" s="5" t="s">
        <v>73</v>
      </c>
      <c r="C10" s="17">
        <v>265000</v>
      </c>
    </row>
    <row r="11" spans="1:3" ht="12.75">
      <c r="A11" s="2"/>
      <c r="B11" s="5" t="s">
        <v>74</v>
      </c>
      <c r="C11" s="17">
        <v>1100000</v>
      </c>
    </row>
    <row r="12" spans="1:3" ht="12.75">
      <c r="A12" s="2"/>
      <c r="B12" s="5" t="s">
        <v>75</v>
      </c>
      <c r="C12" s="17">
        <v>43400</v>
      </c>
    </row>
    <row r="13" spans="1:3" ht="12.75">
      <c r="A13" s="2"/>
      <c r="B13" s="5" t="s">
        <v>76</v>
      </c>
      <c r="C13" s="17">
        <v>18600</v>
      </c>
    </row>
    <row r="14" spans="1:3" ht="12.75">
      <c r="A14" s="1"/>
      <c r="B14" s="20"/>
      <c r="C14" s="19"/>
    </row>
    <row r="15" spans="1:3" ht="16.5" customHeight="1">
      <c r="A15" s="2" t="s">
        <v>20</v>
      </c>
      <c r="B15" s="4" t="s">
        <v>13</v>
      </c>
      <c r="C15" s="32">
        <v>299000</v>
      </c>
    </row>
    <row r="16" spans="1:3" ht="14.25" customHeight="1">
      <c r="A16" s="1"/>
      <c r="B16" s="6" t="s">
        <v>14</v>
      </c>
      <c r="C16" s="29"/>
    </row>
    <row r="17" spans="1:3" ht="14.25" customHeight="1">
      <c r="A17" s="1"/>
      <c r="B17" s="6" t="s">
        <v>70</v>
      </c>
      <c r="C17" s="29"/>
    </row>
    <row r="18" spans="1:3" ht="12.75" customHeight="1">
      <c r="A18" s="1"/>
      <c r="B18" s="6" t="s">
        <v>15</v>
      </c>
      <c r="C18" s="29"/>
    </row>
    <row r="19" spans="1:3" ht="24" customHeight="1">
      <c r="A19" s="1"/>
      <c r="B19" s="6" t="s">
        <v>16</v>
      </c>
      <c r="C19" s="29"/>
    </row>
    <row r="20" spans="1:3" ht="12.75" customHeight="1">
      <c r="A20" s="1"/>
      <c r="B20" s="6" t="s">
        <v>17</v>
      </c>
      <c r="C20" s="29"/>
    </row>
    <row r="21" spans="1:3" ht="12.75" customHeight="1">
      <c r="A21" s="1"/>
      <c r="B21" s="6" t="s">
        <v>18</v>
      </c>
      <c r="C21" s="29"/>
    </row>
    <row r="22" spans="1:3" ht="12.75">
      <c r="A22" s="1"/>
      <c r="B22" s="5" t="s">
        <v>19</v>
      </c>
      <c r="C22" s="29"/>
    </row>
    <row r="23" spans="1:3" ht="27" customHeight="1">
      <c r="A23" s="1"/>
      <c r="B23" s="31" t="s">
        <v>50</v>
      </c>
      <c r="C23" s="29"/>
    </row>
    <row r="24" spans="1:3" ht="14.25" customHeight="1">
      <c r="A24" s="1"/>
      <c r="B24" s="6" t="s">
        <v>71</v>
      </c>
      <c r="C24" s="29"/>
    </row>
    <row r="25" spans="1:3" ht="12" customHeight="1">
      <c r="A25" s="1"/>
      <c r="B25" s="6" t="s">
        <v>72</v>
      </c>
      <c r="C25" s="29"/>
    </row>
    <row r="26" spans="1:3" ht="12" customHeight="1">
      <c r="A26" s="1"/>
      <c r="B26" s="6"/>
      <c r="C26" s="29"/>
    </row>
    <row r="27" spans="1:3" ht="12.75">
      <c r="A27" s="2" t="s">
        <v>21</v>
      </c>
      <c r="B27" s="4" t="s">
        <v>22</v>
      </c>
      <c r="C27" s="32">
        <v>234000</v>
      </c>
    </row>
    <row r="28" spans="1:3" ht="25.5">
      <c r="A28" s="1"/>
      <c r="B28" s="6" t="s">
        <v>23</v>
      </c>
      <c r="C28" s="29"/>
    </row>
    <row r="29" spans="1:3" ht="12.75">
      <c r="A29" s="1"/>
      <c r="B29" s="5" t="s">
        <v>24</v>
      </c>
      <c r="C29" s="29"/>
    </row>
    <row r="30" spans="1:3" ht="12.75">
      <c r="A30" s="1"/>
      <c r="B30" s="5" t="s">
        <v>26</v>
      </c>
      <c r="C30" s="29"/>
    </row>
    <row r="31" spans="1:3" ht="25.5">
      <c r="A31" s="1"/>
      <c r="B31" s="6" t="s">
        <v>78</v>
      </c>
      <c r="C31" s="29"/>
    </row>
    <row r="32" spans="1:3" ht="12.75">
      <c r="A32" s="1"/>
      <c r="B32" s="5" t="s">
        <v>77</v>
      </c>
      <c r="C32" s="29"/>
    </row>
    <row r="33" spans="1:3" ht="12.75">
      <c r="A33" s="1"/>
      <c r="B33" s="5" t="s">
        <v>28</v>
      </c>
      <c r="C33" s="29"/>
    </row>
    <row r="34" spans="1:3" ht="12.75">
      <c r="A34" s="1"/>
      <c r="B34" s="5" t="s">
        <v>29</v>
      </c>
      <c r="C34" s="29"/>
    </row>
    <row r="35" spans="1:3" ht="12.75">
      <c r="A35" s="1"/>
      <c r="B35" s="5" t="s">
        <v>27</v>
      </c>
      <c r="C35" s="29"/>
    </row>
    <row r="36" spans="1:3" ht="12.75">
      <c r="A36" s="1"/>
      <c r="B36" s="20" t="s">
        <v>51</v>
      </c>
      <c r="C36" s="29"/>
    </row>
    <row r="37" spans="1:3" ht="12.75">
      <c r="A37" s="1"/>
      <c r="B37" s="5" t="s">
        <v>25</v>
      </c>
      <c r="C37" s="29"/>
    </row>
    <row r="38" spans="1:3" ht="12.75">
      <c r="A38" s="1"/>
      <c r="B38" s="5"/>
      <c r="C38" s="29"/>
    </row>
    <row r="39" spans="1:3" ht="12.75">
      <c r="A39" s="2" t="s">
        <v>30</v>
      </c>
      <c r="B39" s="4" t="s">
        <v>31</v>
      </c>
      <c r="C39" s="32">
        <v>797000</v>
      </c>
    </row>
    <row r="40" spans="1:3" ht="12.75">
      <c r="A40" s="1"/>
      <c r="B40" s="5" t="s">
        <v>32</v>
      </c>
      <c r="C40" s="29"/>
    </row>
    <row r="41" spans="1:3" ht="12.75">
      <c r="A41" s="1"/>
      <c r="B41" s="5"/>
      <c r="C41" s="29"/>
    </row>
    <row r="42" spans="1:3" ht="12.75">
      <c r="A42" s="1" t="s">
        <v>183</v>
      </c>
      <c r="B42" s="5" t="s">
        <v>184</v>
      </c>
      <c r="C42" s="75">
        <v>1734400</v>
      </c>
    </row>
    <row r="43" spans="1:3" ht="12.75">
      <c r="A43" s="1"/>
      <c r="B43" s="5"/>
      <c r="C43" s="29"/>
    </row>
    <row r="44" spans="1:3" ht="12.75">
      <c r="A44" s="1"/>
      <c r="B44" s="5"/>
      <c r="C44" s="29"/>
    </row>
    <row r="45" spans="1:3" ht="12.75">
      <c r="A45" s="2" t="s">
        <v>47</v>
      </c>
      <c r="B45" s="4" t="s">
        <v>48</v>
      </c>
      <c r="C45" s="33">
        <v>77977.05</v>
      </c>
    </row>
    <row r="46" spans="1:3" ht="12.75">
      <c r="A46" s="2"/>
      <c r="B46" s="20" t="s">
        <v>49</v>
      </c>
      <c r="C46" s="29"/>
    </row>
    <row r="47" spans="1:3" ht="12.75">
      <c r="A47" s="1"/>
      <c r="B47" s="5" t="s">
        <v>79</v>
      </c>
      <c r="C47" s="29"/>
    </row>
    <row r="48" spans="1:3" ht="12.75">
      <c r="A48" s="1"/>
      <c r="B48" s="5"/>
      <c r="C48" s="29"/>
    </row>
    <row r="49" spans="1:3" ht="12.75">
      <c r="A49" s="1"/>
      <c r="B49" s="41" t="s">
        <v>84</v>
      </c>
      <c r="C49" s="32">
        <v>1338457.81</v>
      </c>
    </row>
    <row r="50" spans="2:3" ht="12.75">
      <c r="B50" s="4"/>
      <c r="C50" s="30"/>
    </row>
    <row r="51" spans="1:3" ht="12.75">
      <c r="A51" s="23"/>
      <c r="B51" s="35" t="s">
        <v>34</v>
      </c>
      <c r="C51" s="34">
        <f>SUM(C5+C6+C7+C8+C9+C15+C27+C39+C42+C45+C49)</f>
        <v>31511735.81</v>
      </c>
    </row>
    <row r="52" spans="1:3" ht="12.75">
      <c r="A52" s="1"/>
      <c r="B52" s="1"/>
      <c r="C52" s="19"/>
    </row>
    <row r="53" spans="1:3" ht="12.75">
      <c r="A53" s="1"/>
      <c r="B53" s="2" t="s">
        <v>82</v>
      </c>
      <c r="C53" s="17">
        <v>14547666.2</v>
      </c>
    </row>
    <row r="54" spans="1:3" ht="12.75">
      <c r="A54" s="1"/>
      <c r="B54" s="1"/>
      <c r="C54" s="19"/>
    </row>
    <row r="55" spans="1:3" ht="25.5">
      <c r="A55" s="1"/>
      <c r="B55" s="39" t="s">
        <v>81</v>
      </c>
      <c r="C55" s="18">
        <f>C51/C53*100</f>
        <v>216.61024783480389</v>
      </c>
    </row>
    <row r="56" spans="1:3" s="69" customFormat="1" ht="14.25" customHeight="1">
      <c r="A56" s="99" t="s">
        <v>164</v>
      </c>
      <c r="B56" s="99"/>
      <c r="C56" s="99"/>
    </row>
    <row r="57" ht="12.75">
      <c r="A57" t="s">
        <v>160</v>
      </c>
    </row>
  </sheetData>
  <sheetProtection/>
  <mergeCells count="3">
    <mergeCell ref="A1:C1"/>
    <mergeCell ref="B2:C2"/>
    <mergeCell ref="A56:C56"/>
  </mergeCells>
  <printOptions/>
  <pageMargins left="0.75" right="0.75" top="1" bottom="1" header="0.5" footer="0.5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Дякина Е.В.</cp:lastModifiedBy>
  <cp:lastPrinted>2015-10-07T07:50:58Z</cp:lastPrinted>
  <dcterms:created xsi:type="dcterms:W3CDTF">1996-10-08T23:32:33Z</dcterms:created>
  <dcterms:modified xsi:type="dcterms:W3CDTF">2015-10-07T07:51:02Z</dcterms:modified>
  <cp:category/>
  <cp:version/>
  <cp:contentType/>
  <cp:contentStatus/>
</cp:coreProperties>
</file>